
<file path=[Content_Types].xml><?xml version="1.0" encoding="utf-8"?>
<Types xmlns="http://schemas.openxmlformats.org/package/2006/content-types">
  <Default Extension="png" ContentType="image/png"/>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xr:revisionPtr revIDLastSave="0" documentId="8_{C6E86992-FF8D-4173-A4A9-C984F305A042}" xr6:coauthVersionLast="45" xr6:coauthVersionMax="45" xr10:uidLastSave="{00000000-0000-0000-0000-000000000000}"/>
  <workbookProtection workbookAlgorithmName="SHA-512" workbookHashValue="PTQfV4Zy1u2OePGG9boKqa28yDxsTLAdFmZuTLSdqKX2zU4Zyn/b5gItgEg8hmNJNx4JbVHeZDXZaDdtl6pGQg==" workbookSaltValue="wceuyp/7ix4t6+F74dY8bA==" workbookSpinCount="100000" lockStructure="1"/>
  <bookViews>
    <workbookView xWindow="3435" yWindow="90" windowWidth="22350" windowHeight="15600" xr2:uid="{5B36829C-0742-C34D-AF3B-5C6BC874D847}"/>
  </bookViews>
  <sheets>
    <sheet name="WAV Copyright" sheetId="7" r:id="rId1"/>
    <sheet name="Project_Survey" sheetId="5" r:id="rId2"/>
    <sheet name="Threat_Analysis" sheetId="3" r:id="rId3"/>
    <sheet name="BA_Activities" sheetId="4" r:id="rId4"/>
    <sheet name="UC_Analysis" sheetId="6" r:id="rId5"/>
  </sheets>
  <definedNames>
    <definedName name="Calendar_Yea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2" i="6" l="1"/>
  <c r="J11" i="6"/>
  <c r="J10" i="6"/>
  <c r="J13" i="6" s="1"/>
  <c r="H10" i="6"/>
  <c r="H13" i="6" s="1"/>
  <c r="H12" i="6"/>
  <c r="H11" i="6"/>
  <c r="D39" i="6" l="1"/>
  <c r="E67" i="6"/>
  <c r="E66" i="6"/>
  <c r="E65" i="6"/>
  <c r="E64" i="6"/>
  <c r="E63" i="6"/>
  <c r="E62" i="6"/>
  <c r="E61" i="6"/>
  <c r="E60" i="6"/>
  <c r="E55" i="6"/>
  <c r="E54" i="6"/>
  <c r="E53" i="6"/>
  <c r="E52" i="6"/>
  <c r="E51" i="6"/>
  <c r="E50" i="6"/>
  <c r="E49" i="6"/>
  <c r="E48" i="6"/>
  <c r="E47" i="6"/>
  <c r="E46" i="6"/>
  <c r="E45" i="6"/>
  <c r="E44" i="6"/>
  <c r="E43" i="6"/>
  <c r="D68" i="6" l="1"/>
  <c r="D56" i="6"/>
  <c r="D15" i="6" l="1"/>
  <c r="H5" i="6" s="1"/>
  <c r="H6" i="6" s="1"/>
  <c r="AI5" i="4"/>
  <c r="AI6" i="4"/>
  <c r="AI7" i="4"/>
  <c r="AI8" i="4"/>
  <c r="AI9" i="4"/>
  <c r="AI10" i="4"/>
  <c r="AI11" i="4"/>
  <c r="AI12" i="4"/>
  <c r="AI13" i="4"/>
  <c r="AI14" i="4"/>
  <c r="AI15" i="4"/>
  <c r="AI16" i="4"/>
  <c r="AI17" i="4"/>
  <c r="AI18" i="4"/>
  <c r="AI19" i="4"/>
  <c r="AI20" i="4"/>
  <c r="AI21" i="4"/>
  <c r="AI22" i="4"/>
  <c r="AI23" i="4"/>
  <c r="AI24" i="4"/>
  <c r="AI25" i="4"/>
  <c r="AI26" i="4"/>
  <c r="AI27" i="4"/>
  <c r="AI28" i="4"/>
  <c r="AI29" i="4"/>
  <c r="AI30" i="4"/>
  <c r="AI31" i="4"/>
  <c r="AI32" i="4"/>
  <c r="AI33" i="4"/>
  <c r="AI34" i="4"/>
  <c r="AI35" i="4"/>
  <c r="AI36" i="4"/>
  <c r="AI37" i="4"/>
  <c r="AI38" i="4"/>
  <c r="AI39" i="4"/>
  <c r="AI40" i="4"/>
  <c r="AI41" i="4"/>
  <c r="L5" i="4"/>
  <c r="M5" i="4" s="1"/>
  <c r="O5" i="4" s="1"/>
  <c r="P5" i="4" s="1"/>
  <c r="T5" i="4"/>
  <c r="U5" i="4"/>
  <c r="U6" i="4"/>
  <c r="U7" i="4"/>
  <c r="U8" i="4"/>
  <c r="U9" i="4"/>
  <c r="U10" i="4"/>
  <c r="U11" i="4"/>
  <c r="U12" i="4"/>
  <c r="U13" i="4"/>
  <c r="U14" i="4"/>
  <c r="U15" i="4"/>
  <c r="U16" i="4"/>
  <c r="U17" i="4"/>
  <c r="U18" i="4"/>
  <c r="U19" i="4"/>
  <c r="U20" i="4"/>
  <c r="U21" i="4"/>
  <c r="U22" i="4"/>
  <c r="U23" i="4"/>
  <c r="U24" i="4"/>
  <c r="U25" i="4"/>
  <c r="U26" i="4"/>
  <c r="U27" i="4"/>
  <c r="U28" i="4"/>
  <c r="U29" i="4"/>
  <c r="U30" i="4"/>
  <c r="U31" i="4"/>
  <c r="U32" i="4"/>
  <c r="U33" i="4"/>
  <c r="U34" i="4"/>
  <c r="U35" i="4"/>
  <c r="U36" i="4"/>
  <c r="U37" i="4"/>
  <c r="U38" i="4"/>
  <c r="U39" i="4"/>
  <c r="U40" i="4"/>
  <c r="U41" i="4"/>
  <c r="T6" i="4"/>
  <c r="T7" i="4"/>
  <c r="T8" i="4"/>
  <c r="T9" i="4"/>
  <c r="T10" i="4"/>
  <c r="T11" i="4"/>
  <c r="T12" i="4"/>
  <c r="T13" i="4"/>
  <c r="T14" i="4"/>
  <c r="T15" i="4"/>
  <c r="T16" i="4"/>
  <c r="T17" i="4"/>
  <c r="T18" i="4"/>
  <c r="T19" i="4"/>
  <c r="T20" i="4"/>
  <c r="T21" i="4"/>
  <c r="T22" i="4"/>
  <c r="T23" i="4"/>
  <c r="T24" i="4"/>
  <c r="T25" i="4"/>
  <c r="T26" i="4"/>
  <c r="T27" i="4"/>
  <c r="T28" i="4"/>
  <c r="T29" i="4"/>
  <c r="T30" i="4"/>
  <c r="T31" i="4"/>
  <c r="T32" i="4"/>
  <c r="T33" i="4"/>
  <c r="T34" i="4"/>
  <c r="T35" i="4"/>
  <c r="T36" i="4"/>
  <c r="T37" i="4"/>
  <c r="T38" i="4"/>
  <c r="T39" i="4"/>
  <c r="T40" i="4"/>
  <c r="T41" i="4"/>
  <c r="L6" i="4"/>
  <c r="M6" i="4" s="1"/>
  <c r="O6" i="4" s="1"/>
  <c r="L7" i="4"/>
  <c r="M7" i="4" s="1"/>
  <c r="O7" i="4" s="1"/>
  <c r="L8" i="4"/>
  <c r="M8" i="4" s="1"/>
  <c r="O8" i="4" s="1"/>
  <c r="L9" i="4"/>
  <c r="M9" i="4" s="1"/>
  <c r="O9" i="4" s="1"/>
  <c r="L10" i="4"/>
  <c r="M10" i="4" s="1"/>
  <c r="O10" i="4" s="1"/>
  <c r="L11" i="4"/>
  <c r="N11" i="4" s="1"/>
  <c r="L12" i="4"/>
  <c r="L13" i="4"/>
  <c r="L14" i="4"/>
  <c r="M14" i="4" s="1"/>
  <c r="O14" i="4" s="1"/>
  <c r="L15" i="4"/>
  <c r="M15" i="4" s="1"/>
  <c r="O15" i="4" s="1"/>
  <c r="L16" i="4"/>
  <c r="M16" i="4" s="1"/>
  <c r="O16" i="4" s="1"/>
  <c r="L17" i="4"/>
  <c r="M17" i="4" s="1"/>
  <c r="O17" i="4" s="1"/>
  <c r="L18" i="4"/>
  <c r="M18" i="4" s="1"/>
  <c r="O18" i="4" s="1"/>
  <c r="L19" i="4"/>
  <c r="N19" i="4" s="1"/>
  <c r="L20" i="4"/>
  <c r="N20" i="4" s="1"/>
  <c r="L21" i="4"/>
  <c r="M21" i="4" s="1"/>
  <c r="O21" i="4" s="1"/>
  <c r="L22" i="4"/>
  <c r="M22" i="4" s="1"/>
  <c r="O22" i="4" s="1"/>
  <c r="L23" i="4"/>
  <c r="M23" i="4" s="1"/>
  <c r="O23" i="4" s="1"/>
  <c r="L24" i="4"/>
  <c r="M24" i="4" s="1"/>
  <c r="O24" i="4" s="1"/>
  <c r="L25" i="4"/>
  <c r="M25" i="4" s="1"/>
  <c r="O25" i="4" s="1"/>
  <c r="L26" i="4"/>
  <c r="M26" i="4" s="1"/>
  <c r="O26" i="4" s="1"/>
  <c r="L27" i="4"/>
  <c r="N27" i="4" s="1"/>
  <c r="L28" i="4"/>
  <c r="M28" i="4" s="1"/>
  <c r="O28" i="4" s="1"/>
  <c r="L29" i="4"/>
  <c r="M29" i="4" s="1"/>
  <c r="O29" i="4" s="1"/>
  <c r="L30" i="4"/>
  <c r="M30" i="4" s="1"/>
  <c r="O30" i="4" s="1"/>
  <c r="L31" i="4"/>
  <c r="M31" i="4" s="1"/>
  <c r="O31" i="4" s="1"/>
  <c r="L32" i="4"/>
  <c r="M32" i="4" s="1"/>
  <c r="O32" i="4" s="1"/>
  <c r="L33" i="4"/>
  <c r="M33" i="4" s="1"/>
  <c r="O33" i="4" s="1"/>
  <c r="L34" i="4"/>
  <c r="M34" i="4" s="1"/>
  <c r="O34" i="4" s="1"/>
  <c r="L35" i="4"/>
  <c r="N35" i="4" s="1"/>
  <c r="L36" i="4"/>
  <c r="N36" i="4" s="1"/>
  <c r="L37" i="4"/>
  <c r="M37" i="4" s="1"/>
  <c r="O37" i="4" s="1"/>
  <c r="L38" i="4"/>
  <c r="M38" i="4" s="1"/>
  <c r="O38" i="4" s="1"/>
  <c r="L39" i="4"/>
  <c r="M39" i="4" s="1"/>
  <c r="O39" i="4" s="1"/>
  <c r="L40" i="4"/>
  <c r="M40" i="4" s="1"/>
  <c r="O40" i="4" s="1"/>
  <c r="L41" i="4"/>
  <c r="M41" i="4" s="1"/>
  <c r="O41" i="4" s="1"/>
  <c r="V5" i="4" l="1"/>
  <c r="W5" i="4" s="1"/>
  <c r="X5" i="4" s="1"/>
  <c r="V36" i="4"/>
  <c r="W36" i="4" s="1"/>
  <c r="N5" i="4"/>
  <c r="V13" i="4"/>
  <c r="W13" i="4" s="1"/>
  <c r="V35" i="4"/>
  <c r="W35" i="4" s="1"/>
  <c r="V12" i="4"/>
  <c r="W12" i="4" s="1"/>
  <c r="V28" i="4"/>
  <c r="W28" i="4" s="1"/>
  <c r="V27" i="4"/>
  <c r="W27" i="4" s="1"/>
  <c r="V20" i="4"/>
  <c r="W20" i="4" s="1"/>
  <c r="V19" i="4"/>
  <c r="W19" i="4" s="1"/>
  <c r="V11" i="4"/>
  <c r="W11" i="4" s="1"/>
  <c r="V34" i="4"/>
  <c r="W34" i="4" s="1"/>
  <c r="V26" i="4"/>
  <c r="W26" i="4" s="1"/>
  <c r="V18" i="4"/>
  <c r="W18" i="4" s="1"/>
  <c r="V10" i="4"/>
  <c r="W10" i="4" s="1"/>
  <c r="V41" i="4"/>
  <c r="W41" i="4" s="1"/>
  <c r="V33" i="4"/>
  <c r="W33" i="4" s="1"/>
  <c r="V25" i="4"/>
  <c r="W25" i="4" s="1"/>
  <c r="V17" i="4"/>
  <c r="W17" i="4" s="1"/>
  <c r="V9" i="4"/>
  <c r="W9" i="4" s="1"/>
  <c r="V40" i="4"/>
  <c r="W40" i="4" s="1"/>
  <c r="V32" i="4"/>
  <c r="W32" i="4" s="1"/>
  <c r="V24" i="4"/>
  <c r="W24" i="4" s="1"/>
  <c r="V16" i="4"/>
  <c r="W16" i="4" s="1"/>
  <c r="V8" i="4"/>
  <c r="W8" i="4" s="1"/>
  <c r="V39" i="4"/>
  <c r="W39" i="4" s="1"/>
  <c r="V31" i="4"/>
  <c r="W31" i="4" s="1"/>
  <c r="V23" i="4"/>
  <c r="W23" i="4" s="1"/>
  <c r="V15" i="4"/>
  <c r="W15" i="4" s="1"/>
  <c r="V7" i="4"/>
  <c r="W7" i="4" s="1"/>
  <c r="V38" i="4"/>
  <c r="W38" i="4" s="1"/>
  <c r="V30" i="4"/>
  <c r="W30" i="4" s="1"/>
  <c r="V22" i="4"/>
  <c r="W22" i="4" s="1"/>
  <c r="V14" i="4"/>
  <c r="W14" i="4" s="1"/>
  <c r="V6" i="4"/>
  <c r="W6" i="4" s="1"/>
  <c r="AB6" i="4" s="1"/>
  <c r="V37" i="4"/>
  <c r="W37" i="4" s="1"/>
  <c r="V29" i="4"/>
  <c r="W29" i="4" s="1"/>
  <c r="V21" i="4"/>
  <c r="W21" i="4" s="1"/>
  <c r="N26" i="4"/>
  <c r="N25" i="4"/>
  <c r="N18" i="4"/>
  <c r="N34" i="4"/>
  <c r="N33" i="4"/>
  <c r="M13" i="4"/>
  <c r="O13" i="4" s="1"/>
  <c r="P13" i="4" s="1"/>
  <c r="N17" i="4"/>
  <c r="N10" i="4"/>
  <c r="N41" i="4"/>
  <c r="N9" i="4"/>
  <c r="P29" i="4"/>
  <c r="P21" i="4"/>
  <c r="P37" i="4"/>
  <c r="M20" i="4"/>
  <c r="O20" i="4" s="1"/>
  <c r="P20" i="4" s="1"/>
  <c r="M12" i="4"/>
  <c r="O12" i="4" s="1"/>
  <c r="P12" i="4" s="1"/>
  <c r="M35" i="4"/>
  <c r="O35" i="4" s="1"/>
  <c r="P35" i="4" s="1"/>
  <c r="M27" i="4"/>
  <c r="O27" i="4" s="1"/>
  <c r="P27" i="4" s="1"/>
  <c r="M19" i="4"/>
  <c r="O19" i="4" s="1"/>
  <c r="P19" i="4" s="1"/>
  <c r="M11" i="4"/>
  <c r="O11" i="4" s="1"/>
  <c r="P11" i="4" s="1"/>
  <c r="N40" i="4"/>
  <c r="N32" i="4"/>
  <c r="N24" i="4"/>
  <c r="N16" i="4"/>
  <c r="N8" i="4"/>
  <c r="P34" i="4"/>
  <c r="P26" i="4"/>
  <c r="P18" i="4"/>
  <c r="P10" i="4"/>
  <c r="N39" i="4"/>
  <c r="N31" i="4"/>
  <c r="N23" i="4"/>
  <c r="N15" i="4"/>
  <c r="N7" i="4"/>
  <c r="P41" i="4"/>
  <c r="P33" i="4"/>
  <c r="P25" i="4"/>
  <c r="P17" i="4"/>
  <c r="P9" i="4"/>
  <c r="N38" i="4"/>
  <c r="N30" i="4"/>
  <c r="N22" i="4"/>
  <c r="N14" i="4"/>
  <c r="N6" i="4"/>
  <c r="P40" i="4"/>
  <c r="P32" i="4"/>
  <c r="P24" i="4"/>
  <c r="P16" i="4"/>
  <c r="P8" i="4"/>
  <c r="P28" i="4"/>
  <c r="M36" i="4"/>
  <c r="O36" i="4" s="1"/>
  <c r="P36" i="4" s="1"/>
  <c r="N37" i="4"/>
  <c r="N29" i="4"/>
  <c r="N21" i="4"/>
  <c r="N13" i="4"/>
  <c r="P39" i="4"/>
  <c r="P31" i="4"/>
  <c r="P23" i="4"/>
  <c r="P15" i="4"/>
  <c r="P7" i="4"/>
  <c r="N28" i="4"/>
  <c r="N12" i="4"/>
  <c r="P38" i="4"/>
  <c r="P30" i="4"/>
  <c r="P22" i="4"/>
  <c r="P14" i="4"/>
  <c r="P6" i="4"/>
  <c r="AA5" i="4" l="1"/>
  <c r="Z5" i="4"/>
  <c r="Y5" i="4"/>
  <c r="AB5" i="4"/>
  <c r="AB32" i="4"/>
  <c r="X32" i="4"/>
  <c r="AA32" i="4"/>
  <c r="Y32" i="4"/>
  <c r="Z32" i="4"/>
  <c r="Z12" i="4"/>
  <c r="Y12" i="4"/>
  <c r="AB12" i="4"/>
  <c r="X12" i="4"/>
  <c r="AA12" i="4"/>
  <c r="AA21" i="4"/>
  <c r="Z21" i="4"/>
  <c r="AB21" i="4"/>
  <c r="Y21" i="4"/>
  <c r="X21" i="4"/>
  <c r="AA15" i="4"/>
  <c r="Z15" i="4"/>
  <c r="AB15" i="4"/>
  <c r="Y15" i="4"/>
  <c r="X15" i="4"/>
  <c r="AB25" i="4"/>
  <c r="X25" i="4"/>
  <c r="Z25" i="4"/>
  <c r="AA25" i="4"/>
  <c r="Y25" i="4"/>
  <c r="AA14" i="4"/>
  <c r="Z14" i="4"/>
  <c r="Y14" i="4"/>
  <c r="AB14" i="4"/>
  <c r="X14" i="4"/>
  <c r="AA30" i="4"/>
  <c r="X30" i="4"/>
  <c r="AB30" i="4"/>
  <c r="Z30" i="4"/>
  <c r="Y30" i="4"/>
  <c r="AB16" i="4"/>
  <c r="X16" i="4"/>
  <c r="Y16" i="4"/>
  <c r="AA16" i="4"/>
  <c r="Z16" i="4"/>
  <c r="Z13" i="4"/>
  <c r="AA13" i="4"/>
  <c r="Y13" i="4"/>
  <c r="AB13" i="4"/>
  <c r="X13" i="4"/>
  <c r="AB7" i="4"/>
  <c r="AA7" i="4"/>
  <c r="Y7" i="4"/>
  <c r="Z7" i="4"/>
  <c r="X7" i="4"/>
  <c r="Z29" i="4"/>
  <c r="AB29" i="4"/>
  <c r="AA29" i="4"/>
  <c r="X29" i="4"/>
  <c r="Y29" i="4"/>
  <c r="AB40" i="4"/>
  <c r="X40" i="4"/>
  <c r="AA40" i="4"/>
  <c r="Y40" i="4"/>
  <c r="Z40" i="4"/>
  <c r="AB9" i="4"/>
  <c r="X9" i="4"/>
  <c r="AA9" i="4"/>
  <c r="Z9" i="4"/>
  <c r="Y9" i="4"/>
  <c r="AB17" i="4"/>
  <c r="X17" i="4"/>
  <c r="AA17" i="4"/>
  <c r="Y17" i="4"/>
  <c r="Z17" i="4"/>
  <c r="AA39" i="4"/>
  <c r="Z39" i="4"/>
  <c r="X39" i="4"/>
  <c r="Y39" i="4"/>
  <c r="AB39" i="4"/>
  <c r="Z41" i="4"/>
  <c r="AB41" i="4"/>
  <c r="X41" i="4"/>
  <c r="AA41" i="4"/>
  <c r="Y41" i="4"/>
  <c r="AA31" i="4"/>
  <c r="Y31" i="4"/>
  <c r="X31" i="4"/>
  <c r="Z31" i="4"/>
  <c r="AB31" i="4"/>
  <c r="Y34" i="4"/>
  <c r="AB34" i="4"/>
  <c r="X34" i="4"/>
  <c r="Z34" i="4"/>
  <c r="AA34" i="4"/>
  <c r="Z6" i="4"/>
  <c r="Z20" i="4"/>
  <c r="Y20" i="4"/>
  <c r="AA20" i="4"/>
  <c r="AB20" i="4"/>
  <c r="X20" i="4"/>
  <c r="X23" i="4"/>
  <c r="AA23" i="4"/>
  <c r="Y23" i="4"/>
  <c r="Z23" i="4"/>
  <c r="AB23" i="4"/>
  <c r="AB33" i="4"/>
  <c r="X33" i="4"/>
  <c r="Z33" i="4"/>
  <c r="Y33" i="4"/>
  <c r="AA33" i="4"/>
  <c r="Y26" i="4"/>
  <c r="AB26" i="4"/>
  <c r="X26" i="4"/>
  <c r="AA26" i="4"/>
  <c r="Z26" i="4"/>
  <c r="Z28" i="4"/>
  <c r="Y28" i="4"/>
  <c r="AB28" i="4"/>
  <c r="X28" i="4"/>
  <c r="AA28" i="4"/>
  <c r="Y19" i="4"/>
  <c r="AB19" i="4"/>
  <c r="X19" i="4"/>
  <c r="Z19" i="4"/>
  <c r="AA19" i="4"/>
  <c r="Y6" i="4"/>
  <c r="Z36" i="4"/>
  <c r="Y36" i="4"/>
  <c r="AB36" i="4"/>
  <c r="X36" i="4"/>
  <c r="AA36" i="4"/>
  <c r="Z37" i="4"/>
  <c r="X37" i="4"/>
  <c r="Y37" i="4"/>
  <c r="AA37" i="4"/>
  <c r="AB37" i="4"/>
  <c r="Y11" i="4"/>
  <c r="AB11" i="4"/>
  <c r="X11" i="4"/>
  <c r="Z11" i="4"/>
  <c r="AA11" i="4"/>
  <c r="X6" i="4"/>
  <c r="AA6" i="4"/>
  <c r="AA38" i="4"/>
  <c r="AB38" i="4"/>
  <c r="Z38" i="4"/>
  <c r="X38" i="4"/>
  <c r="Y38" i="4"/>
  <c r="AB24" i="4"/>
  <c r="X24" i="4"/>
  <c r="Y24" i="4"/>
  <c r="AA24" i="4"/>
  <c r="Z24" i="4"/>
  <c r="Y35" i="4"/>
  <c r="AB35" i="4"/>
  <c r="X35" i="4"/>
  <c r="AA35" i="4"/>
  <c r="Z35" i="4"/>
  <c r="AB8" i="4"/>
  <c r="X8" i="4"/>
  <c r="AA8" i="4"/>
  <c r="Z8" i="4"/>
  <c r="Y8" i="4"/>
  <c r="Y27" i="4"/>
  <c r="AB27" i="4"/>
  <c r="X27" i="4"/>
  <c r="AA27" i="4"/>
  <c r="Z27" i="4"/>
  <c r="Y18" i="4"/>
  <c r="Z18" i="4"/>
  <c r="AB18" i="4"/>
  <c r="X18" i="4"/>
  <c r="AA18" i="4"/>
  <c r="AA22" i="4"/>
  <c r="X22" i="4"/>
  <c r="Z22" i="4"/>
  <c r="AB22" i="4"/>
  <c r="Y22" i="4"/>
  <c r="Y10" i="4"/>
  <c r="Z10" i="4"/>
  <c r="AB10" i="4"/>
  <c r="X10" i="4"/>
  <c r="AA10" i="4"/>
  <c r="E7" i="5" l="1"/>
  <c r="E8" i="5"/>
  <c r="E9" i="5"/>
  <c r="E10" i="5"/>
  <c r="E11" i="5"/>
  <c r="E12" i="5"/>
  <c r="E13" i="5"/>
  <c r="E14" i="5"/>
  <c r="E16" i="5"/>
  <c r="E18" i="5"/>
  <c r="E19" i="5"/>
  <c r="E20" i="5"/>
  <c r="E21" i="5"/>
  <c r="E22" i="5"/>
  <c r="E23" i="5"/>
  <c r="E24" i="5"/>
  <c r="B25" i="5" l="1"/>
  <c r="F5" i="5" s="1"/>
  <c r="E40" i="5"/>
  <c r="E38" i="5"/>
  <c r="E39" i="5"/>
  <c r="E37" i="5"/>
  <c r="E34" i="5"/>
  <c r="E31" i="5"/>
  <c r="E29" i="5"/>
  <c r="E36" i="5"/>
  <c r="E35" i="5"/>
  <c r="E33" i="5"/>
  <c r="E32" i="5"/>
  <c r="E30" i="5"/>
  <c r="F27" i="5" l="1"/>
  <c r="F27" i="3"/>
  <c r="I27" i="3"/>
  <c r="K27" i="3"/>
  <c r="N27" i="3"/>
  <c r="P27" i="3"/>
  <c r="Q27" i="3"/>
  <c r="R27" i="3"/>
  <c r="K9" i="3" l="1"/>
  <c r="K10" i="3"/>
  <c r="K11" i="3"/>
  <c r="K12" i="3"/>
  <c r="K13" i="3"/>
  <c r="K14" i="3"/>
  <c r="K15" i="3"/>
  <c r="K16" i="3"/>
  <c r="K17" i="3"/>
  <c r="K18" i="3"/>
  <c r="K19" i="3"/>
  <c r="K20" i="3"/>
  <c r="K21" i="3"/>
  <c r="K22" i="3"/>
  <c r="K23" i="3"/>
  <c r="K24" i="3"/>
  <c r="K25" i="3"/>
  <c r="K26" i="3"/>
  <c r="R9" i="3"/>
  <c r="R10" i="3"/>
  <c r="R11" i="3"/>
  <c r="R12" i="3"/>
  <c r="R13" i="3"/>
  <c r="R14" i="3"/>
  <c r="R15" i="3"/>
  <c r="R16" i="3"/>
  <c r="R17" i="3"/>
  <c r="R18" i="3"/>
  <c r="R19" i="3"/>
  <c r="R20" i="3"/>
  <c r="R21" i="3"/>
  <c r="R22" i="3"/>
  <c r="R23" i="3"/>
  <c r="R24" i="3"/>
  <c r="R25" i="3"/>
  <c r="R26" i="3"/>
  <c r="F8" i="3"/>
  <c r="F9" i="3"/>
  <c r="F10" i="3"/>
  <c r="F11" i="3"/>
  <c r="F12" i="3"/>
  <c r="F13" i="3"/>
  <c r="F14" i="3"/>
  <c r="F15" i="3"/>
  <c r="F16" i="3"/>
  <c r="F17" i="3"/>
  <c r="F18" i="3"/>
  <c r="F19" i="3"/>
  <c r="F20" i="3"/>
  <c r="F21" i="3"/>
  <c r="F22" i="3"/>
  <c r="F23" i="3"/>
  <c r="F24" i="3"/>
  <c r="F25" i="3"/>
  <c r="F26" i="3"/>
  <c r="F7" i="3"/>
  <c r="I7" i="3"/>
  <c r="I8" i="3"/>
  <c r="I9" i="3"/>
  <c r="I10" i="3"/>
  <c r="I11" i="3"/>
  <c r="I12" i="3"/>
  <c r="I13" i="3"/>
  <c r="I14" i="3"/>
  <c r="I15" i="3"/>
  <c r="I16" i="3"/>
  <c r="I17" i="3"/>
  <c r="I18" i="3"/>
  <c r="I19" i="3"/>
  <c r="I20" i="3"/>
  <c r="I21" i="3"/>
  <c r="I22" i="3"/>
  <c r="I23" i="3"/>
  <c r="I24" i="3"/>
  <c r="I25" i="3"/>
  <c r="I26" i="3"/>
  <c r="N7" i="3"/>
  <c r="N8" i="3"/>
  <c r="N9" i="3"/>
  <c r="N10" i="3"/>
  <c r="N11" i="3"/>
  <c r="N12" i="3"/>
  <c r="N13" i="3"/>
  <c r="N14" i="3"/>
  <c r="N15" i="3"/>
  <c r="N16" i="3"/>
  <c r="N17" i="3"/>
  <c r="N18" i="3"/>
  <c r="N19" i="3"/>
  <c r="N20" i="3"/>
  <c r="N21" i="3"/>
  <c r="N22" i="3"/>
  <c r="N23" i="3"/>
  <c r="N24" i="3"/>
  <c r="N25" i="3"/>
  <c r="N26" i="3"/>
  <c r="Q8" i="3" l="1"/>
  <c r="P8" i="3"/>
  <c r="K8" i="3" s="1"/>
  <c r="Q9" i="3"/>
  <c r="P9" i="3"/>
  <c r="Q11" i="3"/>
  <c r="Q12" i="3"/>
  <c r="Q13" i="3"/>
  <c r="Q14" i="3"/>
  <c r="Q15" i="3"/>
  <c r="Q16" i="3"/>
  <c r="Q17" i="3"/>
  <c r="Q18" i="3"/>
  <c r="Q19" i="3"/>
  <c r="Q20" i="3"/>
  <c r="Q21" i="3"/>
  <c r="Q22" i="3"/>
  <c r="Q23" i="3"/>
  <c r="Q24" i="3"/>
  <c r="Q25" i="3"/>
  <c r="Q26" i="3"/>
  <c r="P7" i="3"/>
  <c r="P10" i="3"/>
  <c r="P11" i="3"/>
  <c r="P12" i="3"/>
  <c r="P13" i="3"/>
  <c r="P14" i="3"/>
  <c r="P15" i="3"/>
  <c r="P16" i="3"/>
  <c r="P17" i="3"/>
  <c r="P18" i="3"/>
  <c r="P19" i="3"/>
  <c r="P20" i="3"/>
  <c r="P21" i="3"/>
  <c r="P22" i="3"/>
  <c r="P23" i="3"/>
  <c r="P24" i="3"/>
  <c r="P25" i="3"/>
  <c r="P26" i="3"/>
  <c r="R8" i="3" l="1"/>
  <c r="Q10" i="3"/>
  <c r="Q7" i="3" l="1"/>
  <c r="K7" i="3" l="1"/>
  <c r="R7" i="3"/>
  <c r="I5"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3" authorId="0" shapeId="0" xr:uid="{3514CDE1-9CE6-E545-92E5-8C4A6CEDAD13}">
      <text>
        <r>
          <rPr>
            <b/>
            <sz val="10"/>
            <color rgb="FF000000"/>
            <rFont val="Calibri"/>
            <family val="2"/>
          </rPr>
          <t>Actor Complexity Analysis (Unadjusted Actor Weight)</t>
        </r>
        <r>
          <rPr>
            <sz val="10"/>
            <color rgb="FF000000"/>
            <rFont val="Calibri"/>
            <family val="2"/>
          </rPr>
          <t xml:space="preserve">
</t>
        </r>
        <r>
          <rPr>
            <sz val="10"/>
            <color rgb="FF000000"/>
            <rFont val="Calibri"/>
            <family val="2"/>
          </rPr>
          <t xml:space="preserve">
</t>
        </r>
        <r>
          <rPr>
            <sz val="10"/>
            <color rgb="FF000000"/>
            <rFont val="Calibri"/>
            <family val="2"/>
          </rPr>
          <t xml:space="preserve">Following a use case or scenario based requirements analysis and design definition and development method requires us to analyze the use cases and scenarios using the Use Case Points Method or UCP. Our first step is to examine and classify our actors
</t>
        </r>
        <r>
          <rPr>
            <sz val="10"/>
            <color rgb="FF000000"/>
            <rFont val="Calibri"/>
            <family val="2"/>
          </rPr>
          <t xml:space="preserve">
</t>
        </r>
        <r>
          <rPr>
            <sz val="10"/>
            <color rgb="FF000000"/>
            <rFont val="Calibri"/>
            <family val="2"/>
          </rPr>
          <t xml:space="preserve">The UAW contributes to the size of the software being developed. It is calculated based on the number and complexity of the actors for the system. Each of the actors must be identified and classified as Simple, Average or Complex based on the type of actor. We generally classify actors in the following mannor:
</t>
        </r>
        <r>
          <rPr>
            <sz val="10"/>
            <color rgb="FF000000"/>
            <rFont val="Calibri"/>
            <family val="2"/>
          </rPr>
          <t xml:space="preserve">
</t>
        </r>
        <r>
          <rPr>
            <b/>
            <sz val="10"/>
            <color rgb="FF000000"/>
            <rFont val="Calibri"/>
            <family val="2"/>
          </rPr>
          <t>Simple</t>
        </r>
        <r>
          <rPr>
            <sz val="10"/>
            <color rgb="FF000000"/>
            <rFont val="Calibri"/>
            <family val="2"/>
          </rPr>
          <t xml:space="preserve">: External systems that must interact with the solution under consideration using a well-defined application programming interface. An API is a subroutine definition, protocol, predefined method or other programatic tool used to help various software components communicaite with each other.
</t>
        </r>
        <r>
          <rPr>
            <sz val="10"/>
            <color rgb="FF000000"/>
            <rFont val="Calibri"/>
            <family val="2"/>
          </rPr>
          <t xml:space="preserve">
</t>
        </r>
        <r>
          <rPr>
            <b/>
            <sz val="10"/>
            <color rgb="FF000000"/>
            <rFont val="Calibri"/>
            <family val="2"/>
          </rPr>
          <t>Average</t>
        </r>
        <r>
          <rPr>
            <sz val="10"/>
            <color rgb="FF000000"/>
            <rFont val="Calibri"/>
            <family val="2"/>
          </rPr>
          <t xml:space="preserve">: External system that must interact with the system using standard communication protocols (e.g. TCP/IP, FTP, HTTP, database).
</t>
        </r>
        <r>
          <rPr>
            <sz val="10"/>
            <color rgb="FF000000"/>
            <rFont val="Calibri"/>
            <family val="2"/>
          </rPr>
          <t xml:space="preserve">
</t>
        </r>
        <r>
          <rPr>
            <b/>
            <sz val="10"/>
            <color rgb="FF000000"/>
            <rFont val="Calibri"/>
            <family val="2"/>
          </rPr>
          <t>Conplex</t>
        </r>
        <r>
          <rPr>
            <sz val="10"/>
            <color rgb="FF000000"/>
            <rFont val="Calibri"/>
            <family val="2"/>
          </rPr>
          <t>: Human actor using a GUI application interface.</t>
        </r>
      </text>
    </comment>
    <comment ref="C4" authorId="0" shapeId="0" xr:uid="{0330E981-4E32-3B4E-8A10-8A8B205E3EF6}">
      <text>
        <r>
          <rPr>
            <sz val="10"/>
            <color rgb="FF000000"/>
            <rFont val="Calibri"/>
            <family val="2"/>
          </rPr>
          <t xml:space="preserve">Actor Complexity Analysis
</t>
        </r>
        <r>
          <rPr>
            <sz val="10"/>
            <color rgb="FF000000"/>
            <rFont val="Calibri"/>
            <family val="2"/>
          </rPr>
          <t xml:space="preserve">
</t>
        </r>
        <r>
          <rPr>
            <sz val="10"/>
            <color rgb="FF000000"/>
            <rFont val="Calibri"/>
            <family val="2"/>
          </rPr>
          <t xml:space="preserve">
</t>
        </r>
      </text>
    </comment>
    <comment ref="B17" authorId="0" shapeId="0" xr:uid="{FCB9C1C0-2EF2-4B42-9AF6-A76C36499AFB}">
      <text>
        <r>
          <rPr>
            <b/>
            <sz val="10"/>
            <color rgb="FF000000"/>
            <rFont val="Calibri"/>
            <family val="2"/>
          </rPr>
          <t>Unadjusted Use Case Weight (UUCW)</t>
        </r>
        <r>
          <rPr>
            <sz val="10"/>
            <color rgb="FF000000"/>
            <rFont val="Calibri"/>
            <family val="2"/>
          </rPr>
          <t xml:space="preserve">
</t>
        </r>
        <r>
          <rPr>
            <sz val="10"/>
            <color rgb="FF000000"/>
            <rFont val="Calibri"/>
            <family val="2"/>
          </rPr>
          <t xml:space="preserve">
</t>
        </r>
        <r>
          <rPr>
            <sz val="10"/>
            <color rgb="FF000000"/>
            <rFont val="Calibri"/>
            <family val="2"/>
          </rPr>
          <t xml:space="preserve">The UUCW is one of the factors that contribute to the size of the software being developed. It is calculated based on the number and complexity of the use cases for the system. To find the UUCW for a system, each of the use cases must be identified and classified as Simple, Average or Complex based on the number of transactions the use case contains.
</t>
        </r>
        <r>
          <rPr>
            <sz val="10"/>
            <color rgb="FF000000"/>
            <rFont val="Calibri"/>
            <family val="2"/>
          </rPr>
          <t xml:space="preserve">
</t>
        </r>
        <r>
          <rPr>
            <sz val="10"/>
            <color rgb="FF000000"/>
            <rFont val="Calibri"/>
            <family val="2"/>
          </rPr>
          <t xml:space="preserve">A use case transaction is defined as the number of steps in a use case flow, which describes the interaction between an actor and the system or a round trip between the user to the system and back to the user again. Here is an an examle:
</t>
        </r>
        <r>
          <rPr>
            <sz val="10"/>
            <color rgb="FF000000"/>
            <rFont val="Calibri"/>
            <family val="2"/>
          </rPr>
          <t xml:space="preserve">
</t>
        </r>
        <r>
          <rPr>
            <sz val="10"/>
            <color rgb="FF000000"/>
            <rFont val="Calibri"/>
            <family val="2"/>
          </rPr>
          <t xml:space="preserve">Simple: 1 to 3 transactions
</t>
        </r>
        <r>
          <rPr>
            <sz val="10"/>
            <color rgb="FF000000"/>
            <rFont val="Calibri"/>
            <family val="2"/>
          </rPr>
          <t xml:space="preserve">Average: 4 to 7 transactions
</t>
        </r>
        <r>
          <rPr>
            <sz val="10"/>
            <color rgb="FF000000"/>
            <rFont val="Calibri"/>
            <family val="2"/>
          </rPr>
          <t xml:space="preserve">Complex: 8 or more transactions 
</t>
        </r>
        <r>
          <rPr>
            <b/>
            <sz val="10"/>
            <color rgb="FF000000"/>
            <rFont val="Calibri"/>
            <family val="2"/>
          </rPr>
          <t xml:space="preserve">
</t>
        </r>
        <r>
          <rPr>
            <b/>
            <sz val="10"/>
            <color rgb="FF000000"/>
            <rFont val="Calibri"/>
            <family val="2"/>
          </rPr>
          <t>Start of transaction</t>
        </r>
        <r>
          <rPr>
            <sz val="10"/>
            <color rgb="FF000000"/>
            <rFont val="Calibri"/>
            <family val="2"/>
          </rPr>
          <t xml:space="preserve">
</t>
        </r>
        <r>
          <rPr>
            <sz val="10"/>
            <color rgb="FF000000"/>
            <rFont val="Calibri"/>
            <family val="2"/>
          </rPr>
          <t xml:space="preserve">User does something
</t>
        </r>
        <r>
          <rPr>
            <sz val="10"/>
            <color rgb="FF000000"/>
            <rFont val="Calibri"/>
            <family val="2"/>
          </rPr>
          <t xml:space="preserve">System responds
</t>
        </r>
        <r>
          <rPr>
            <sz val="10"/>
            <color rgb="FF000000"/>
            <rFont val="Calibri"/>
            <family val="2"/>
          </rPr>
          <t xml:space="preserve">System changes state
</t>
        </r>
        <r>
          <rPr>
            <sz val="10"/>
            <color rgb="FF000000"/>
            <rFont val="Calibri"/>
            <family val="2"/>
          </rPr>
          <t xml:space="preserve">Actor does something else
</t>
        </r>
        <r>
          <rPr>
            <b/>
            <sz val="10"/>
            <color rgb="FF000000"/>
            <rFont val="Calibri"/>
            <family val="2"/>
          </rPr>
          <t xml:space="preserve">End of transaction
</t>
        </r>
        <r>
          <rPr>
            <b/>
            <sz val="10"/>
            <color rgb="FF000000"/>
            <rFont val="Calibri"/>
            <family val="2"/>
          </rPr>
          <t xml:space="preserve">Start of new transaction
</t>
        </r>
        <r>
          <rPr>
            <sz val="10"/>
            <color rgb="FF000000"/>
            <rFont val="Calibri"/>
            <family val="2"/>
          </rPr>
          <t xml:space="preserve">User does something
</t>
        </r>
        <r>
          <rPr>
            <sz val="10"/>
            <color rgb="FF000000"/>
            <rFont val="Calibri"/>
            <family val="2"/>
          </rPr>
          <t xml:space="preserve">System responds
</t>
        </r>
        <r>
          <rPr>
            <sz val="10"/>
            <color rgb="FF000000"/>
            <rFont val="Calibri"/>
            <family val="2"/>
          </rPr>
          <t xml:space="preserve">...
</t>
        </r>
        <r>
          <rPr>
            <sz val="10"/>
            <color rgb="FF000000"/>
            <rFont val="Calibri"/>
            <family val="2"/>
          </rPr>
          <t xml:space="preserve">
</t>
        </r>
        <r>
          <rPr>
            <sz val="10"/>
            <color rgb="FF000000"/>
            <rFont val="Calibri"/>
            <family val="2"/>
          </rPr>
          <t xml:space="preserve">
</t>
        </r>
        <r>
          <rPr>
            <sz val="10"/>
            <color rgb="FF000000"/>
            <rFont val="Calibri"/>
            <family val="2"/>
          </rPr>
          <t xml:space="preserve">
</t>
        </r>
        <r>
          <rPr>
            <sz val="10"/>
            <color rgb="FF000000"/>
            <rFont val="Calibri"/>
            <family val="2"/>
          </rPr>
          <t xml:space="preserve">
</t>
        </r>
        <r>
          <rPr>
            <sz val="10"/>
            <color rgb="FF000000"/>
            <rFont val="Calibri"/>
            <family val="2"/>
          </rPr>
          <t xml:space="preserve">
</t>
        </r>
      </text>
    </comment>
    <comment ref="B41" authorId="0" shapeId="0" xr:uid="{C3D03738-C640-FB48-A0C8-359DEB8B5B78}">
      <text>
        <r>
          <rPr>
            <sz val="10"/>
            <color rgb="FF000000"/>
            <rFont val="Calibri"/>
            <family val="2"/>
          </rPr>
          <t xml:space="preserve">Technical Complexity Analysis
</t>
        </r>
        <r>
          <rPr>
            <sz val="10"/>
            <color rgb="FF000000"/>
            <rFont val="Calibri"/>
            <family val="2"/>
          </rPr>
          <t xml:space="preserve">
</t>
        </r>
        <r>
          <rPr>
            <sz val="10"/>
            <color rgb="FF000000"/>
            <rFont val="Calibri"/>
            <family val="2"/>
          </rPr>
          <t xml:space="preserve">The TCA is one of the factors applied to the estimated size of the software in order to account for technical considerations of the system. It is determined by assigning a score between 0 (factor is irrelevant) and 5 (factor is essential) to each of the 13 technical factors listed in the table below.
</t>
        </r>
        <r>
          <rPr>
            <sz val="10"/>
            <color rgb="FF000000"/>
            <rFont val="Calibri"/>
            <family val="2"/>
          </rPr>
          <t xml:space="preserve">
</t>
        </r>
        <r>
          <rPr>
            <sz val="10"/>
            <color rgb="FF000000"/>
            <rFont val="Calibri"/>
            <family val="2"/>
          </rPr>
          <t>Use the descriptions provided to help evaluate your answer.</t>
        </r>
      </text>
    </comment>
  </commentList>
</comments>
</file>

<file path=xl/sharedStrings.xml><?xml version="1.0" encoding="utf-8"?>
<sst xmlns="http://schemas.openxmlformats.org/spreadsheetml/2006/main" count="740" uniqueCount="352">
  <si>
    <t>ID</t>
  </si>
  <si>
    <t>Inverse of Belief the Threat Event is True Given Condition</t>
  </si>
  <si>
    <t>First Conditional Outcome</t>
  </si>
  <si>
    <t>Second Conditional Outcome</t>
  </si>
  <si>
    <t>client did not receive a refund for extra services rendered</t>
  </si>
  <si>
    <t>client does not withdraw their support for our project</t>
  </si>
  <si>
    <t>our teams have a strong working relationship</t>
  </si>
  <si>
    <t>Joint Belief Given Threat Event AND First Conditional Outcome</t>
  </si>
  <si>
    <t>Joint Belief Given Threat Event AND Second Conditional Outcome</t>
  </si>
  <si>
    <t>Threat</t>
  </si>
  <si>
    <t>we missed payments to client</t>
  </si>
  <si>
    <t>Probability of First Conditional Outcome Given Its Evidence</t>
  </si>
  <si>
    <t>client bank statement does not show a transaction record</t>
  </si>
  <si>
    <t>Initial Evidence</t>
  </si>
  <si>
    <t>Analysis of Project Threats Using Bayes' Theorem</t>
  </si>
  <si>
    <t>Evidence for First Conditional Outcome</t>
  </si>
  <si>
    <t>First Conditional Outcome Given Its Evidence</t>
  </si>
  <si>
    <t>Degree of Belief of First Conditional Outcome Given Its Evidence</t>
  </si>
  <si>
    <t>Evidence for Second Conditional Outcome</t>
  </si>
  <si>
    <t>Second Conditional Outcome Given Its Evidence</t>
  </si>
  <si>
    <t>Degree of Belief of Second Conditional Outcome Given Its Evidence</t>
  </si>
  <si>
    <t>EDF Issue</t>
  </si>
  <si>
    <t>EDF Response</t>
  </si>
  <si>
    <t>EDF Score</t>
  </si>
  <si>
    <t>EDF Resolution</t>
  </si>
  <si>
    <t>N</t>
  </si>
  <si>
    <t>Y</t>
  </si>
  <si>
    <t>What is the number of project dependencies (external and internal)?</t>
  </si>
  <si>
    <t>Does this project's scope overlap with other projects?</t>
  </si>
  <si>
    <t>Do the external stakeholders (including vendors) have prior experience with this project's solution approach?</t>
  </si>
  <si>
    <t>What is the total number of affected Users ?</t>
  </si>
  <si>
    <t>Does this project have poor client support?</t>
  </si>
  <si>
    <t>Does this project have poor vendor support?</t>
  </si>
  <si>
    <t>Does this project have poor sponsor support?</t>
  </si>
  <si>
    <t>H</t>
  </si>
  <si>
    <t>What is the level of training required for this project?</t>
  </si>
  <si>
    <t>Coordination is key. Ensure adherence to standards, both technical and managerial. Emphasize the importance of regular status reporting.</t>
  </si>
  <si>
    <t>Be aware of parallel or duplicate, development of similar areas with different approaches causing confusion and irritation to the team. Establish cross-project standards to ensure consistency.  Establish change control procedures to manage the different changes  proposed by different systems. Recommend a strategic/architectural plan.</t>
  </si>
  <si>
    <t>The complexity of requirements and the possibility of conflicts will affect the business analysis approach: training requirements and implementation logistics.  Consider a more adaptive approach, such as a phased implementation.  Plan the releases as early as possible.</t>
  </si>
  <si>
    <t>Establish working norms or a team working agreement. Do not waste time waiting for a response to queries or rework arising from mistaken assumptions made by the project team in the interim. Impose contractual constraints/safeguards. Requesting documentation in advance ensures effective account management. Consider adding a contingency to your project. Negotiate for a client acceptor if there is more than one stakeholder you consider a client.</t>
  </si>
  <si>
    <t>Identify a user group with your clients. Establish working norms or a team working agreement. Do not waste time waiting for a response to queries or rework arising from mistaken assumptions made by the project team in the interim. Impose contractual constraints/safeguards — request documentation in advance.</t>
  </si>
  <si>
    <t>Do not waste time waiting for the completion of other projects, not within your control. Create a new critical path schedule that provides coordination between the various project. Recommend a strategic/architectural plan.</t>
  </si>
  <si>
    <t>Obtain consensus by identifying key representatives. Establish a decision-making process/responsibilities. Use a RACI or other responsibility and assignment matrix.</t>
  </si>
  <si>
    <t>In combination with the number of geographical areas affected, the project requires time to distribute deliverables and coordinate activities. Select a pilot implementation site then a phase in the implementation. Establish a focal point for development activities.</t>
  </si>
  <si>
    <t>In combination with the number of external implementation sites, the project requires time to distribute deliverables and coordinate activities. As the ratio between these two factors increases, so will the risk. Consider adding a contingency to your business analysis plan.</t>
  </si>
  <si>
    <t>Do not set unrealistic expectations — lack of communication.  Lack of knowledge of roles and commitment will undermine success. Do not keep team members at arm's length — especially vendors and external clients. Schedule briefing and training sessions early in the project and increase user involvement/participation.</t>
  </si>
  <si>
    <t>Lack of understanding of requirements or lack of involvement of users in the production of deliverables will consequently lead to apathy and lack of commitment to the project. Users are a significant stakeholder for any project; in terms of their impact and participation. A project IS its stakeholders. Use techniques that are less dependent on user input, e.g., relational data analysis rather than data modeling.  Use user representatives on the Project Board to encourage participation.  Extend review activities.</t>
  </si>
  <si>
    <t>Subject matter experts are essential to project success. They hold crucial information required to analyze, design, build, test, deploy, and assess a solution or any of its components.</t>
  </si>
  <si>
    <t>Plan the change as soon as the project begins. Begin the change as soon as the solution designs begin. Anticipate and plan for resistance. Identify change champions and put them to work, spreading the value of the adjustment. Hold briefings throughout the project with all stakeholders.  Increase user involvement.  Obtain top management commitment. Use the ADKAR process to manage the awareness, desire, required abilities of the change. Remember to plan to reinforce the shift. It can take more than a month for some people to adapt.</t>
  </si>
  <si>
    <t>What is the level of changes required to user procedures?</t>
  </si>
  <si>
    <t>The more change required at one time, the more resistant a stakeholder may be — phase changes in small doses. Users inadequately prepared for successful implementation and handover will revert to old behaviors.  Increase the level of user training, use of prototypes, and presentations of the new procedures. Identify early adopters within the user-base and train the trainer.</t>
  </si>
  <si>
    <t>Lack of commitment to assuring the quality of deliverables increases rework and defects. Increase user participation in all solution related activities by use of JAD, and other interactive sessions. Use workshops to elicit information and create models.  Manage workshops correctly by having its participants provide the information through activities such as process modeling or use case diagrams. Determine user roles in the project organization with RACI charts or some other responsibility assignment matrix. RAMs are useful at all levels of your business analysis plan, from high-level deliverables to activities and elements of work or work products.</t>
  </si>
  <si>
    <t>Make sure there are adequate budget and time for training. Include a prior walkthrough of the training sessions and materials to gain commitment from user management. Plan the training with an experienced trainer. If a vendor is providing the solution or any of its components, be sure to include training in the contract and statement of work (SOW).</t>
  </si>
  <si>
    <t>Make sure the sponsor has time for this project. Establish time boundaries and plan around them. Establish working norms with the sponsor. When a problem arises, the sponsor may not have the authority, or perspective, to support the project adequately. Review the project's threats to make sure the sponsor has the authority necessary to resolve potential risks to the business analysis plan. Extend project board to include a more appropriate sponsor.</t>
  </si>
  <si>
    <t>EDF ID</t>
  </si>
  <si>
    <t>EDF01</t>
  </si>
  <si>
    <t>EDF02</t>
  </si>
  <si>
    <t>EDF03</t>
  </si>
  <si>
    <t>EDF04</t>
  </si>
  <si>
    <t>EDF05</t>
  </si>
  <si>
    <t>EDF06</t>
  </si>
  <si>
    <t>EDF07</t>
  </si>
  <si>
    <t>EDF08</t>
  </si>
  <si>
    <t>EDF09</t>
  </si>
  <si>
    <t>EDF10</t>
  </si>
  <si>
    <t>EDF11</t>
  </si>
  <si>
    <t>EDF12</t>
  </si>
  <si>
    <t>EDF13</t>
  </si>
  <si>
    <t>EDF14</t>
  </si>
  <si>
    <t>EDF15</t>
  </si>
  <si>
    <t>EDF16</t>
  </si>
  <si>
    <t>EDF17</t>
  </si>
  <si>
    <t>EDF18</t>
  </si>
  <si>
    <t>Does your project have multiple vendors/contractors?</t>
  </si>
  <si>
    <t>Are key users available for this project?</t>
  </si>
  <si>
    <t>Are organizational changes required (in terms of reporting, structure, or responsibility)?</t>
  </si>
  <si>
    <t>Will this project involve users in project management and execution, as in building the deliverables schedule?</t>
  </si>
  <si>
    <t>TR001</t>
  </si>
  <si>
    <t>TR002</t>
  </si>
  <si>
    <t>TR003</t>
  </si>
  <si>
    <t>TR004</t>
  </si>
  <si>
    <t>TR005</t>
  </si>
  <si>
    <t>TR006</t>
  </si>
  <si>
    <t>TR007</t>
  </si>
  <si>
    <t>TR008</t>
  </si>
  <si>
    <t>TR009</t>
  </si>
  <si>
    <t>TR010</t>
  </si>
  <si>
    <t>TR011</t>
  </si>
  <si>
    <t>TR012</t>
  </si>
  <si>
    <t>TR013</t>
  </si>
  <si>
    <t>TR014</t>
  </si>
  <si>
    <t>TR015</t>
  </si>
  <si>
    <t>TR016</t>
  </si>
  <si>
    <t>TR017</t>
  </si>
  <si>
    <t>TR018</t>
  </si>
  <si>
    <t>TR019</t>
  </si>
  <si>
    <t>TR020</t>
  </si>
  <si>
    <t>External Dependencies</t>
  </si>
  <si>
    <t>Internal Planning Factors</t>
  </si>
  <si>
    <t>IPF ID</t>
  </si>
  <si>
    <t>IPF Issue</t>
  </si>
  <si>
    <t>IPF Response</t>
  </si>
  <si>
    <t>IPF Resolution</t>
  </si>
  <si>
    <t>TRnn</t>
  </si>
  <si>
    <t>some initial evidence</t>
  </si>
  <si>
    <t>this is the first conditional outcome</t>
  </si>
  <si>
    <t>this is the evidence for the first conditional outcome</t>
  </si>
  <si>
    <t>our client withdraws support for our project</t>
  </si>
  <si>
    <t>this is the second conditional outcome</t>
  </si>
  <si>
    <t>this is the evidence for the second conditional outcome</t>
  </si>
  <si>
    <t>the threat</t>
  </si>
  <si>
    <t>Degree of Belief the Threat is True Given Initial Evidence</t>
  </si>
  <si>
    <t>Probability of Second Conditional Outcome Given Its Evidence</t>
  </si>
  <si>
    <t>IPF01</t>
  </si>
  <si>
    <t>IPF02</t>
  </si>
  <si>
    <t>IPF03</t>
  </si>
  <si>
    <t>IPF04</t>
  </si>
  <si>
    <t>IPF05</t>
  </si>
  <si>
    <t>IPF06</t>
  </si>
  <si>
    <t>IPF07</t>
  </si>
  <si>
    <t>IPF08</t>
  </si>
  <si>
    <t>IPF10</t>
  </si>
  <si>
    <t>IPF11</t>
  </si>
  <si>
    <t>IPF12</t>
  </si>
  <si>
    <t>IPF13</t>
  </si>
  <si>
    <t>Is this project dependent on scarce resources/skills?</t>
  </si>
  <si>
    <t>Is this project dependant on complex task dependencies?</t>
  </si>
  <si>
    <t>What is the number of inter-project dependencies?</t>
  </si>
  <si>
    <t>Does the project plan require extensive recruitment of resources?</t>
  </si>
  <si>
    <t>Is there a critical implementation date?</t>
  </si>
  <si>
    <t>Are there sufficient control/governance procedures in place?</t>
  </si>
  <si>
    <t>What is the number of significant subsystems?</t>
  </si>
  <si>
    <t>Has more than three years elapsed on the management of these subsystems?</t>
  </si>
  <si>
    <t xml:space="preserve">Were key deliverable dates set by the team based on the project plan? </t>
  </si>
  <si>
    <t>What is the overall experience of the project manager?</t>
  </si>
  <si>
    <t>Are the required resources available and ready to work?</t>
  </si>
  <si>
    <t>The project will experience competition for resources or personnel with appropriate skills. Make resource requirements known as early as possible.</t>
  </si>
  <si>
    <t>If critical dependencies are unknown, there is an increased chance of schedule slippage. Increase the level of planning and tighten project control.</t>
  </si>
  <si>
    <t>Do not waste time awaiting completion of other projects not within the project manager's control. Create a coordination project with the critical identified. Recommend a strategic/architectural plan.</t>
  </si>
  <si>
    <t>Plan time and expense to train resources. Plan gradual transition to critical deliverables to allow for team resources to reach high production. Investigate the viability of using short term experienced contractors.</t>
  </si>
  <si>
    <t>Consider reducing quality or functionality. Be sure to verify the significance of the project or requirement's due date. What is the cost of missing the due date? Allocate solution requirements, selecting which module in which portions of the solution they belong; and release accordingly.</t>
  </si>
  <si>
    <t>Plan to ensure decisions execute consistently and adequately. Define a process that allows decision-makers to have the information they need. Examples of this include requirements management, business analysis risk management, and allocation of business analysis resources.</t>
  </si>
  <si>
    <t>There is an increased chance of project slippage due to possible changes in requirements or scope over longer elapsed time.Create a plan to manage each interface. Involve solution architects to aid in threat reduction. Minimize project interdependencies by adding other business analysts or project coordinators.</t>
  </si>
  <si>
    <t>The level of planning experience of unknowns within the project plan may make estimates low. Ensure management tolerances and contingencies are identified using established tools such as declining order of magnitudes for cost and time estimates, rolling wave planning (RWP) earned value management (EVM),  program evaluation review technique (PERT), and expected monetary value (EMV). Be sure to fully define the business analysis plan (BAP).</t>
  </si>
  <si>
    <t>Is the mandated date arbitrary? Create a forward business analysis plan. Identify gaps between the required and honest completion date. Verify the significance and justification for the deliverables dates. Review the cost of missing deliverables. Review the critical path and ensure the best resources are on track. Produce a plan. If the team has no control over deliverables, it is hard to maintain a commitment to the project plan. If the date is unachievable, motivation is challenging, and quality will suffer. Expect rework, requirements, and solution defects to be high and costly in time and money. Integration, change management, training, and testing suffer under these conditions.</t>
  </si>
  <si>
    <t>Plans may not exist. Control procedures may not be adequate. Provide training and support from an experienced project manager. Increase involvement by Project Board.</t>
  </si>
  <si>
    <t>L</t>
  </si>
  <si>
    <t>If the resources (all stakeholders whom the project will meet expectations, work with jointly, partner, consult, inform, or otherwise engage), then the project will fail. The project may require a new plan or baseline to fit with maximum resource constraints. A rebaselined project is considered a bankrupt project and follows the same psychological path.</t>
  </si>
  <si>
    <t>What is your overall level of confidence for this project (out of a score of five where five is the most confident and one is the least)?</t>
  </si>
  <si>
    <t>Will Key External SMEs be available?</t>
  </si>
  <si>
    <t>What is the number of external implementation sites (the mimium value must be one)?</t>
  </si>
  <si>
    <t>What is the number of geographical areas affected (the mimium value must be one)?</t>
  </si>
  <si>
    <t>What is the number of affected User areas (the mimium value must be one)?</t>
  </si>
  <si>
    <t>What is the number of decision-makers per affected User area (the mimium value must be one)?</t>
  </si>
  <si>
    <t>R</t>
  </si>
  <si>
    <t>A</t>
  </si>
  <si>
    <t>S</t>
  </si>
  <si>
    <t>C</t>
  </si>
  <si>
    <t>I</t>
  </si>
  <si>
    <t>Worst</t>
  </si>
  <si>
    <t>ML</t>
  </si>
  <si>
    <t>Best</t>
  </si>
  <si>
    <t>Mean (of the number set)</t>
  </si>
  <si>
    <t>Variance (of the number set)</t>
  </si>
  <si>
    <t>(x-mean)^2</t>
  </si>
  <si>
    <t>sigma</t>
  </si>
  <si>
    <t>z-score</t>
  </si>
  <si>
    <t>Efficiency Adjustment</t>
  </si>
  <si>
    <t>X</t>
  </si>
  <si>
    <t>Proficiency Adjustment</t>
  </si>
  <si>
    <t>Availability</t>
  </si>
  <si>
    <t>−2σ</t>
  </si>
  <si>
    <t>−1σ</t>
  </si>
  <si>
    <t>0σ</t>
  </si>
  <si>
    <t>+1σ</t>
  </si>
  <si>
    <t>+2σ</t>
  </si>
  <si>
    <t xml:space="preserve">Priority </t>
  </si>
  <si>
    <t>Status</t>
  </si>
  <si>
    <t>Start Date</t>
  </si>
  <si>
    <t>Due Date</t>
  </si>
  <si>
    <t>% Complete</t>
  </si>
  <si>
    <t>BA-1.1</t>
  </si>
  <si>
    <t>Plan Business Analysis Approach</t>
  </si>
  <si>
    <t>Efficient</t>
  </si>
  <si>
    <t>Experienced</t>
  </si>
  <si>
    <t>Normal</t>
  </si>
  <si>
    <t>On Schedule</t>
  </si>
  <si>
    <t>BA-1.2</t>
  </si>
  <si>
    <t>Plan Stakeholder Engagement Plan</t>
  </si>
  <si>
    <t>Average</t>
  </si>
  <si>
    <t>Inexperienced</t>
  </si>
  <si>
    <t>High</t>
  </si>
  <si>
    <t>BA-1.3</t>
  </si>
  <si>
    <t>Plan Business Analysis Governance Plan</t>
  </si>
  <si>
    <t>Low</t>
  </si>
  <si>
    <t>BA-1.4</t>
  </si>
  <si>
    <t>Plan Business Analysis Information Management Plan</t>
  </si>
  <si>
    <t>Inefficient</t>
  </si>
  <si>
    <t>BA-1.5</t>
  </si>
  <si>
    <t>Business Analysis Performance Improvement Plan</t>
  </si>
  <si>
    <t>BA-2.1</t>
  </si>
  <si>
    <t>Stakeholder Analysis and Collaboration Plan</t>
  </si>
  <si>
    <t>BA-2.2</t>
  </si>
  <si>
    <t>Form Requirements Team</t>
  </si>
  <si>
    <t>BA-2.3</t>
  </si>
  <si>
    <t>Create and Approve Requirements Team Charter</t>
  </si>
  <si>
    <t>BA-2.4</t>
  </si>
  <si>
    <t>Prepare Elicitation Plans</t>
  </si>
  <si>
    <t>BA-2.5</t>
  </si>
  <si>
    <t>Conduct all Elicitation Activities and Sessions</t>
  </si>
  <si>
    <t>BA-2.6</t>
  </si>
  <si>
    <t>Confirm all Elicitation Results</t>
  </si>
  <si>
    <t>BA-2.7</t>
  </si>
  <si>
    <t>Verify and Validate all Stated Requirements</t>
  </si>
  <si>
    <t>BA-2.8</t>
  </si>
  <si>
    <t>Baseline all Stated Requirements</t>
  </si>
  <si>
    <t>BA-3.1</t>
  </si>
  <si>
    <t>Ongoing Trace of Requirements</t>
  </si>
  <si>
    <t>BA-3.2</t>
  </si>
  <si>
    <t>Ongoing Maintain Requirements</t>
  </si>
  <si>
    <t>BA-3.3</t>
  </si>
  <si>
    <t>Prioritize all Requirements</t>
  </si>
  <si>
    <t>BA-3.4</t>
  </si>
  <si>
    <t>Ongoing Assessment of Requirement Changes</t>
  </si>
  <si>
    <t>BA-3.5</t>
  </si>
  <si>
    <t>Approve Requirements at all Levels and Stages</t>
  </si>
  <si>
    <t>BA-4.1</t>
  </si>
  <si>
    <t>Analyze Current State</t>
  </si>
  <si>
    <t>BA-4.2</t>
  </si>
  <si>
    <t>Define Future State</t>
  </si>
  <si>
    <t>BA-4.3</t>
  </si>
  <si>
    <t>Assess Requirements Risks</t>
  </si>
  <si>
    <t>BA-4.4</t>
  </si>
  <si>
    <t>Define Change Strategy</t>
  </si>
  <si>
    <t>BA-5.1</t>
  </si>
  <si>
    <t>Prepare Analysis Plans</t>
  </si>
  <si>
    <t>BA-5.2</t>
  </si>
  <si>
    <t>Conduct all Analysis Activities and Sessions</t>
  </si>
  <si>
    <t>BA-5.3</t>
  </si>
  <si>
    <t>Confirm all Analysis Results</t>
  </si>
  <si>
    <t>BA-5.4</t>
  </si>
  <si>
    <t>Specify and Model all Requirements</t>
  </si>
  <si>
    <t>BA-5.5</t>
  </si>
  <si>
    <t>Define all Design Options</t>
  </si>
  <si>
    <t>BA-5.6</t>
  </si>
  <si>
    <t>Analyze all Potential Value and Recommend Solution</t>
  </si>
  <si>
    <t>BA-5.7</t>
  </si>
  <si>
    <t>Verify all Requirements</t>
  </si>
  <si>
    <t>BA-5.8</t>
  </si>
  <si>
    <t>Validate all Requirements</t>
  </si>
  <si>
    <t>BA-5.9</t>
  </si>
  <si>
    <t>Prepare all Requirements Packages</t>
  </si>
  <si>
    <t>BA-5.10</t>
  </si>
  <si>
    <t>Baseline all Analyzed Requirements</t>
  </si>
  <si>
    <t>BA-6.1</t>
  </si>
  <si>
    <t>Measure Solution Performance</t>
  </si>
  <si>
    <t>BA-6.2</t>
  </si>
  <si>
    <t>Analyze Performance Measures</t>
  </si>
  <si>
    <t>BA-6.3</t>
  </si>
  <si>
    <t>Assess Solution Limitations</t>
  </si>
  <si>
    <t>BA-6.4</t>
  </si>
  <si>
    <t>Assess Enterprise Limitations</t>
  </si>
  <si>
    <t>BA-6.5</t>
  </si>
  <si>
    <t>Recommend Actions to Increase Solution Value</t>
  </si>
  <si>
    <t>Hide</t>
  </si>
  <si>
    <t>Responsibility Assignment Matrix (RASCI)</t>
  </si>
  <si>
    <t>Work Product</t>
  </si>
  <si>
    <t>BA Activity</t>
  </si>
  <si>
    <t>Resource Full Name</t>
  </si>
  <si>
    <t>Estimated Uninterrupted Effort Hours</t>
  </si>
  <si>
    <t>Adjustments</t>
  </si>
  <si>
    <t>Adjusted Effort Hours</t>
  </si>
  <si>
    <t>Adjusted Duration in Hours</t>
  </si>
  <si>
    <t>Range of Compleation in Hours</t>
  </si>
  <si>
    <t>Date Completed</t>
  </si>
  <si>
    <t>Days Overdue</t>
  </si>
  <si>
    <t>Reporting</t>
  </si>
  <si>
    <t>Actor Complexity Analysis</t>
  </si>
  <si>
    <t>Actor ID</t>
  </si>
  <si>
    <t>Actor Complexity</t>
  </si>
  <si>
    <t>Actor Name</t>
  </si>
  <si>
    <t>Simple</t>
  </si>
  <si>
    <t>Complex</t>
  </si>
  <si>
    <t>Use Case Complexity Analysis</t>
  </si>
  <si>
    <t>UC ID</t>
  </si>
  <si>
    <t>Use Case Complexity</t>
  </si>
  <si>
    <t>Use Case Name</t>
  </si>
  <si>
    <t>Technical Complexity Analysis</t>
  </si>
  <si>
    <t>Question</t>
  </si>
  <si>
    <t>Importance</t>
  </si>
  <si>
    <t>Description</t>
  </si>
  <si>
    <t>Distributed System Required</t>
  </si>
  <si>
    <t>The architecture of the solution may be centralized or single-tenant , or it may be distributed (like an n-tier solution) or multi-tenant. Higher numbers represent a more complex architecture.</t>
  </si>
  <si>
    <t>Response Time Is Important</t>
  </si>
  <si>
    <t>The quickness of response for users is an important (and non-trivial) factor. For example, if the server load is expected to be very low, this may be a trivial factor. Higher numbers represent increasing importance of response time (a search engine would have a high number, a daily news aggregator would have a low number).</t>
  </si>
  <si>
    <t>End User Efficiency</t>
  </si>
  <si>
    <t>Is the application being developed to optimize on user efficiency, or just capability? Higher numbers represent projects that rely more heavily on the application to improve user efficiency.</t>
  </si>
  <si>
    <t>Complex Internal Processing Required</t>
  </si>
  <si>
    <t>Is there a lot of difficult algorithmic work to do and test? Complex algorithms (resource leveling, time-domain systems analysis, OLAP cubes) have higher numbers. Simple database queries would have low numbers.</t>
  </si>
  <si>
    <t>Reusable Code Must Be A Focus</t>
  </si>
  <si>
    <t>Is heavy code reuse an objective or goal? Code reuse reduces the amount of effort required to deploy a project. It also reduces the amount of time required to debug a project. A shared library function can be re-used multiple times, and fixing the code in one place can resolve multiple bugs. The higher the level of re-use, the lower the number.</t>
  </si>
  <si>
    <t>Installation Ease</t>
  </si>
  <si>
    <t>Is ease of installation for end users a key factor? The higher the level of competence of the users, the lower the number.</t>
  </si>
  <si>
    <t>Usability</t>
  </si>
  <si>
    <t>Is ease of use a primary criteria for acceptance? The greater the importance of usability, the higher the number.</t>
  </si>
  <si>
    <t>Cross-Platform Support</t>
  </si>
  <si>
    <t>Is multi-platform support required? The more platforms that have to be supported (this could be browser versions, mobile devices, etc. or Windows/OSX/Unix), the higher the value.</t>
  </si>
  <si>
    <t>Easy To Change</t>
  </si>
  <si>
    <t>Does the customer require the ability to change or customize the application in the future? The more change / customization that is required in the future, the higher the value.</t>
  </si>
  <si>
    <t>Highly Concurrent</t>
  </si>
  <si>
    <t>Will you have to address database locking and other concurrency issues? The more attention you have to spend to resolving conflicts in the data or application, the higher the value.</t>
  </si>
  <si>
    <t>Custom Security</t>
  </si>
  <si>
    <t>Can existing security solutions be leveraged, or must custom code be developed? The more custom security work you have to do (field level, page level, or role based security, for example), the higher the value.</t>
  </si>
  <si>
    <t>Dependence On Third-Party Code</t>
  </si>
  <si>
    <t>Will the application require the use of third party controls or libraries? Like re-usable code, third party code can reduce the effort required to deploy a solution. The more third party code (and the more reliable the third party code), the lower the number.</t>
  </si>
  <si>
    <t>User Training</t>
  </si>
  <si>
    <t>How much user training is required? Is the application complex, or supporting complex activities? The longer it takes users to cross the suck threshold (achieve a level of mastery of the product), the higher the value.</t>
  </si>
  <si>
    <t>Environmental Use Case Analysis</t>
  </si>
  <si>
    <t>Familiarity With The Project</t>
  </si>
  <si>
    <t>How much experience does your team have working in this domain? The domain of the project will be a reflection of what the software is intended to accomplish, not the implementation language. In other words, for an insurance compensation system written in java, you care about the team’s experience in the insurance compensation space - not how much java they’ve written. Higher levels of experience get a higher number.</t>
  </si>
  <si>
    <t>Application Experience</t>
  </si>
  <si>
    <t>How much experience does your team have with the application. This will only be relevant when making changes to an existing application. Higher numbers represent more experience. For a new application, everyone’s experience will be 0.</t>
  </si>
  <si>
    <t>OO Programming Experience</t>
  </si>
  <si>
    <t>How much experience does your team have at OO? It can be easy to forget that many people have no object oriented programming experience if you are used to having it. A user-centric or use-case-driven project will have an inherently OO structure in the implementation. Higher numbers represent more OO experience.</t>
  </si>
  <si>
    <t>Lead Analyst Capability</t>
  </si>
  <si>
    <t>How knowledgeable and capable is the person responsible for the requirements? Bad requirements are the number one killer of projects - the Standish Group reports that 40% to 60% of defects come from bad requirements. Higher numbers represent increased skill and knowledge.</t>
  </si>
  <si>
    <t>Motivation</t>
  </si>
  <si>
    <t>How motivated is your team? Higher numbers represent more motivation.</t>
  </si>
  <si>
    <t>Stable Requirements</t>
  </si>
  <si>
    <t>Changes in requirements can cause increases in work. The way to avoid this is by planning for change and instituting a timing system for managing those changes. Most people don’t do this, and some rework will be unavoidable. Higher numbers represent more change (or a less effective system for managing change).</t>
  </si>
  <si>
    <t>Part Time Staff</t>
  </si>
  <si>
    <t>Note, the multiplier for this number is negative. Higher numbers reflect team members that are part time, outside consultants, and developers who are splitting their time across projects. Context switching and other intangible factors make these team members less efficient.</t>
  </si>
  <si>
    <t>Difficult Programming Language</t>
  </si>
  <si>
    <t>This multiplier is also negative. Harder languages represent higher numbers. We believe that difficulty is in the eye of the be-coder (groan). Java might be difficult for a fortran programmer. Think of it in terms of difficulty for your team, not abstract difficulty.</t>
  </si>
  <si>
    <t xml:space="preserve">Use Case Analysis Report </t>
  </si>
  <si>
    <t>Contition</t>
  </si>
  <si>
    <t>Hours</t>
  </si>
  <si>
    <t>Days (7.5)</t>
  </si>
  <si>
    <t>Total Use Case Points</t>
  </si>
  <si>
    <t>Total Derived Hours</t>
  </si>
  <si>
    <t>Actor Analysis Report</t>
  </si>
  <si>
    <t>Use Case</t>
  </si>
  <si>
    <t>Count</t>
  </si>
  <si>
    <t>Actor</t>
  </si>
  <si>
    <t>Total Use Cases</t>
  </si>
  <si>
    <t>Total Actors</t>
  </si>
  <si>
    <t xml:space="preserve">Use Case Hours </t>
  </si>
  <si>
    <t>Unadjusted Actor Weight (UAW) (Hidden)</t>
  </si>
  <si>
    <t>Unadjusted Use Case Weight (UAW) (Hidden)</t>
  </si>
  <si>
    <t>Technical Complexity Factor (TCF) Score (Hidden)</t>
  </si>
  <si>
    <t>Environmental Complexity Factor (ECF) (Hidden)</t>
  </si>
  <si>
    <t>Environmental Complexity Factor (ECF) Score (Hidden)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</si>
</sst>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64" formatCode="0.0000%"/>
    <numFmt numFmtId="165" formatCode="0.000%"/>
    <numFmt numFmtId="166" formatCode="0.0%"/>
    <numFmt numFmtId="167" formatCode="0.0"/>
    <numFmt numFmtId="168" formatCode="&quot;Done&quot;;&quot;&quot;;&quot;Overdue&quot;"/>
    <numFmt numFmtId="169" formatCode="0.000"/>
    <numFmt numFmtId="170" formatCode="[$-F800]dddd\,\ mmmm\ dd\,\ yyyy"/>
  </numFmts>
  <fonts count="15" x14ac:knownFonts="1">
    <font>
      <sz val="12"/>
      <color theme="1"/>
      <name val="Tahoma"/>
      <family val="2"/>
    </font>
    <font>
      <sz val="8"/>
      <name val="Tahoma"/>
      <family val="2"/>
    </font>
    <font>
      <sz val="20"/>
      <color theme="0"/>
      <name val="Tahoma"/>
      <family val="2"/>
    </font>
    <font>
      <sz val="20"/>
      <color theme="1"/>
      <name val="Tahoma"/>
      <family val="2"/>
    </font>
    <font>
      <b/>
      <sz val="12"/>
      <color theme="0"/>
      <name val="Tahoma"/>
      <family val="2"/>
    </font>
    <font>
      <sz val="12"/>
      <color theme="0"/>
      <name val="Tahoma"/>
      <family val="2"/>
    </font>
    <font>
      <sz val="11"/>
      <color theme="1" tint="4.9989318521683403E-2"/>
      <name val="Tw Cen MT"/>
      <family val="1"/>
      <scheme val="minor"/>
    </font>
    <font>
      <sz val="12"/>
      <color theme="3"/>
      <name val="Tahoma"/>
      <family val="2"/>
    </font>
    <font>
      <sz val="11"/>
      <color theme="3"/>
      <name val="Tw Cen MT"/>
      <family val="1"/>
      <scheme val="minor"/>
    </font>
    <font>
      <sz val="12"/>
      <name val="Tahoma"/>
      <family val="2"/>
    </font>
    <font>
      <sz val="10"/>
      <name val="Arial"/>
      <family val="2"/>
    </font>
    <font>
      <b/>
      <sz val="10"/>
      <color rgb="FF000000"/>
      <name val="Calibri"/>
      <family val="2"/>
    </font>
    <font>
      <sz val="10"/>
      <color rgb="FF000000"/>
      <name val="Calibri"/>
      <family val="2"/>
    </font>
    <font>
      <sz val="10"/>
      <color theme="1" tint="0.499984740745262"/>
      <name val="Tw Cen MT"/>
      <family val="2"/>
      <scheme val="minor"/>
    </font>
    <font>
      <b/>
      <sz val="12"/>
      <color theme="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1" tint="0.499984740745262"/>
        <bgColor indexed="64"/>
      </patternFill>
    </fill>
    <fill>
      <patternFill patternType="solid">
        <fgColor theme="3"/>
        <bgColor indexed="64"/>
      </patternFill>
    </fill>
    <fill>
      <patternFill patternType="solid">
        <fgColor theme="8"/>
        <bgColor indexed="64"/>
      </patternFill>
    </fill>
    <fill>
      <patternFill patternType="solid">
        <fgColor theme="0"/>
        <bgColor indexed="64"/>
      </patternFill>
    </fill>
  </fills>
  <borders count="14">
    <border>
      <left/>
      <right/>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style="thin">
        <color theme="0"/>
      </right>
      <top/>
      <bottom/>
      <diagonal/>
    </border>
    <border>
      <left/>
      <right/>
      <top style="thin">
        <color theme="0"/>
      </top>
      <bottom/>
      <diagonal/>
    </border>
    <border>
      <left/>
      <right/>
      <top/>
      <bottom style="thin">
        <color theme="0"/>
      </bottom>
      <diagonal/>
    </border>
    <border>
      <left/>
      <right/>
      <top style="medium">
        <color theme="0"/>
      </top>
      <bottom/>
      <diagonal/>
    </border>
    <border>
      <left style="medium">
        <color theme="0"/>
      </left>
      <right/>
      <top style="medium">
        <color theme="0"/>
      </top>
      <bottom/>
      <diagonal/>
    </border>
    <border>
      <left/>
      <right style="medium">
        <color theme="0"/>
      </right>
      <top style="medium">
        <color theme="0"/>
      </top>
      <bottom/>
      <diagonal/>
    </border>
    <border>
      <left/>
      <right/>
      <top/>
      <bottom style="medium">
        <color theme="0"/>
      </bottom>
      <diagonal/>
    </border>
    <border>
      <left style="medium">
        <color theme="0"/>
      </left>
      <right/>
      <top style="thin">
        <color theme="0"/>
      </top>
      <bottom/>
      <diagonal/>
    </border>
    <border>
      <left style="medium">
        <color theme="0"/>
      </left>
      <right style="medium">
        <color theme="0"/>
      </right>
      <top style="medium">
        <color theme="0"/>
      </top>
      <bottom style="medium">
        <color theme="0"/>
      </bottom>
      <diagonal/>
    </border>
    <border>
      <left style="thin">
        <color theme="0"/>
      </left>
      <right style="thin">
        <color theme="0"/>
      </right>
      <top/>
      <bottom/>
      <diagonal/>
    </border>
  </borders>
  <cellStyleXfs count="7">
    <xf numFmtId="0" fontId="0" fillId="0" borderId="0">
      <alignment vertical="center"/>
    </xf>
    <xf numFmtId="0" fontId="6" fillId="0" borderId="0">
      <alignment horizontal="left" vertical="center" wrapText="1" indent="1"/>
    </xf>
    <xf numFmtId="14" fontId="6" fillId="0" borderId="0">
      <alignment horizontal="left" vertical="center" indent="1"/>
    </xf>
    <xf numFmtId="9" fontId="6" fillId="0" borderId="0" applyFont="0" applyFill="0" applyBorder="0" applyProtection="0">
      <alignment horizontal="right" vertical="center" indent="1"/>
    </xf>
    <xf numFmtId="168" fontId="8" fillId="0" borderId="0" applyFill="0" applyBorder="0">
      <alignment horizontal="center" vertical="center"/>
    </xf>
    <xf numFmtId="0" fontId="10" fillId="0" borderId="0"/>
    <xf numFmtId="0" fontId="13" fillId="0" borderId="0">
      <alignment vertical="center"/>
    </xf>
  </cellStyleXfs>
  <cellXfs count="90">
    <xf numFmtId="0" fontId="0" fillId="0" borderId="0" xfId="0">
      <alignment vertical="center"/>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9" fontId="0" fillId="0" borderId="0" xfId="0" applyNumberFormat="1" applyAlignment="1">
      <alignment horizontal="center" vertical="center" wrapText="1"/>
    </xf>
    <xf numFmtId="0" fontId="0" fillId="2" borderId="0" xfId="0" applyFill="1" applyAlignment="1">
      <alignment horizontal="center" vertical="center" wrapText="1"/>
    </xf>
    <xf numFmtId="165" fontId="0" fillId="0" borderId="0" xfId="0" applyNumberFormat="1" applyAlignment="1">
      <alignment horizontal="center" vertical="center" wrapText="1"/>
    </xf>
    <xf numFmtId="0" fontId="0" fillId="0" borderId="0" xfId="0" applyNumberFormat="1" applyAlignment="1">
      <alignment horizontal="left" vertical="center" wrapText="1"/>
    </xf>
    <xf numFmtId="0" fontId="0" fillId="0" borderId="0" xfId="0" applyFill="1" applyAlignment="1">
      <alignment horizontal="center" vertical="center" wrapText="1"/>
    </xf>
    <xf numFmtId="0" fontId="0" fillId="0" borderId="0" xfId="0" applyBorder="1" applyAlignment="1">
      <alignment horizontal="left" vertical="center" wrapText="1"/>
    </xf>
    <xf numFmtId="9" fontId="0" fillId="0" borderId="0" xfId="0" applyNumberFormat="1" applyBorder="1" applyAlignment="1">
      <alignment horizontal="left" vertical="center" wrapText="1"/>
    </xf>
    <xf numFmtId="9" fontId="0" fillId="0" borderId="0" xfId="0" applyNumberFormat="1" applyAlignment="1">
      <alignment horizontal="left" vertical="center" wrapText="1"/>
    </xf>
    <xf numFmtId="0" fontId="0" fillId="3" borderId="0" xfId="0" applyFill="1" applyAlignment="1">
      <alignment horizontal="center" vertical="center" wrapText="1"/>
    </xf>
    <xf numFmtId="166" fontId="0" fillId="0" borderId="0" xfId="0" applyNumberFormat="1" applyAlignment="1">
      <alignment horizontal="center" vertical="center" wrapText="1"/>
    </xf>
    <xf numFmtId="9" fontId="0" fillId="0" borderId="4" xfId="0" applyNumberFormat="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center" vertical="center" wrapText="1"/>
    </xf>
    <xf numFmtId="0" fontId="0" fillId="0" borderId="0" xfId="0" applyAlignment="1">
      <alignment horizontal="center" vertical="center"/>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0" fillId="0" borderId="0" xfId="0" applyAlignment="1">
      <alignment horizontal="left" vertical="center"/>
    </xf>
    <xf numFmtId="0" fontId="0" fillId="0" borderId="6" xfId="0" applyBorder="1" applyAlignment="1">
      <alignment horizontal="center" vertical="center"/>
    </xf>
    <xf numFmtId="0" fontId="0" fillId="0" borderId="5" xfId="0" applyBorder="1" applyAlignment="1">
      <alignment horizontal="left" vertical="center"/>
    </xf>
    <xf numFmtId="0" fontId="0" fillId="0" borderId="0" xfId="0" applyAlignment="1">
      <alignment vertical="center"/>
    </xf>
    <xf numFmtId="0" fontId="0" fillId="0" borderId="0" xfId="0" applyAlignment="1">
      <alignment vertical="center" wrapText="1"/>
    </xf>
    <xf numFmtId="167" fontId="0" fillId="0" borderId="0" xfId="0" applyNumberFormat="1" applyAlignment="1">
      <alignment horizontal="center" vertical="center"/>
    </xf>
    <xf numFmtId="0" fontId="0" fillId="3" borderId="0" xfId="0" applyFill="1" applyAlignment="1">
      <alignment horizontal="center" vertical="center"/>
    </xf>
    <xf numFmtId="0" fontId="2" fillId="3" borderId="1" xfId="0" applyFont="1" applyFill="1" applyBorder="1" applyAlignment="1">
      <alignment horizontal="center" vertical="center"/>
    </xf>
    <xf numFmtId="0" fontId="3" fillId="0" borderId="9" xfId="0" applyFont="1" applyBorder="1" applyAlignment="1">
      <alignment horizontal="center" vertical="center"/>
    </xf>
    <xf numFmtId="0" fontId="0" fillId="0" borderId="0" xfId="0" applyAlignment="1">
      <alignment horizontal="center" vertical="center"/>
    </xf>
    <xf numFmtId="0" fontId="0" fillId="0" borderId="11" xfId="0" applyBorder="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167" fontId="0" fillId="0" borderId="0" xfId="0" applyNumberFormat="1">
      <alignment vertical="center"/>
    </xf>
    <xf numFmtId="0" fontId="9" fillId="0" borderId="0" xfId="0" applyFont="1" applyAlignment="1">
      <alignment horizontal="center" vertical="center"/>
    </xf>
    <xf numFmtId="0" fontId="2" fillId="0" borderId="0" xfId="0" applyFont="1">
      <alignment vertical="center"/>
    </xf>
    <xf numFmtId="1" fontId="0" fillId="0" borderId="0" xfId="0" applyNumberFormat="1" applyAlignment="1">
      <alignment horizontal="center" vertical="center"/>
    </xf>
    <xf numFmtId="0" fontId="2" fillId="4" borderId="12" xfId="0" applyFont="1" applyFill="1" applyBorder="1" applyAlignment="1">
      <alignment horizontal="center" vertical="center"/>
    </xf>
    <xf numFmtId="169" fontId="0" fillId="0" borderId="0" xfId="0" applyNumberFormat="1">
      <alignment vertical="center"/>
    </xf>
    <xf numFmtId="166" fontId="0" fillId="0" borderId="0" xfId="0" applyNumberFormat="1" applyAlignment="1">
      <alignment horizontal="center" vertical="center"/>
    </xf>
    <xf numFmtId="170" fontId="0" fillId="0" borderId="0" xfId="0" applyNumberFormat="1" applyAlignment="1">
      <alignment horizontal="center" vertical="center"/>
    </xf>
    <xf numFmtId="9" fontId="0" fillId="0" borderId="0" xfId="0" applyNumberFormat="1" applyAlignment="1">
      <alignment horizontal="right" vertical="center"/>
    </xf>
    <xf numFmtId="0" fontId="5" fillId="0" borderId="0" xfId="5" applyFont="1" applyAlignment="1">
      <alignment horizontal="center" vertical="center" wrapText="1"/>
    </xf>
    <xf numFmtId="0" fontId="5" fillId="0" borderId="0" xfId="5" applyFont="1" applyAlignment="1">
      <alignment horizontal="center" vertical="center"/>
    </xf>
    <xf numFmtId="0" fontId="4" fillId="5" borderId="4" xfId="5" applyFont="1" applyFill="1" applyBorder="1" applyAlignment="1">
      <alignment horizontal="center" vertical="center"/>
    </xf>
    <xf numFmtId="0" fontId="4" fillId="5" borderId="13" xfId="5" applyFont="1" applyFill="1"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left" vertical="center" wrapText="1"/>
    </xf>
    <xf numFmtId="0" fontId="14" fillId="0" borderId="0" xfId="0" applyFont="1" applyAlignment="1">
      <alignment horizontal="center" vertical="center"/>
    </xf>
    <xf numFmtId="0" fontId="2" fillId="4" borderId="1" xfId="0" applyFont="1" applyFill="1" applyBorder="1" applyAlignment="1">
      <alignment horizontal="center" vertical="center"/>
    </xf>
    <xf numFmtId="0" fontId="2" fillId="4" borderId="3" xfId="0" applyFont="1" applyFill="1" applyBorder="1" applyAlignment="1">
      <alignment horizontal="center" vertical="center"/>
    </xf>
    <xf numFmtId="0" fontId="4" fillId="5" borderId="0" xfId="5" applyFont="1" applyFill="1" applyBorder="1" applyAlignment="1">
      <alignment horizontal="center" vertical="center" wrapText="1"/>
    </xf>
    <xf numFmtId="0" fontId="0" fillId="0" borderId="0" xfId="0" applyAlignment="1">
      <alignment horizontal="center" vertical="center"/>
    </xf>
    <xf numFmtId="167" fontId="0" fillId="6" borderId="0" xfId="0" applyNumberFormat="1" applyFill="1" applyAlignment="1">
      <alignment horizontal="center" vertical="center"/>
    </xf>
    <xf numFmtId="167" fontId="14" fillId="0" borderId="0" xfId="0" applyNumberFormat="1" applyFont="1" applyAlignment="1">
      <alignment horizontal="center" vertical="center"/>
    </xf>
    <xf numFmtId="0" fontId="4" fillId="6" borderId="0" xfId="5" applyFont="1" applyFill="1" applyBorder="1" applyAlignment="1">
      <alignment horizontal="center" vertical="center" wrapText="1"/>
    </xf>
    <xf numFmtId="167" fontId="0" fillId="0" borderId="0" xfId="0" applyNumberFormat="1" applyAlignment="1" applyProtection="1">
      <alignment horizontal="center" vertical="center"/>
      <protection hidden="1"/>
    </xf>
    <xf numFmtId="0" fontId="0" fillId="0" borderId="0" xfId="0" applyAlignment="1" applyProtection="1">
      <alignment horizontal="center" vertical="center"/>
      <protection hidden="1"/>
    </xf>
    <xf numFmtId="165" fontId="0" fillId="0" borderId="0" xfId="0" applyNumberFormat="1" applyAlignment="1" applyProtection="1">
      <alignment horizontal="center" vertical="center" wrapText="1"/>
      <protection hidden="1"/>
    </xf>
    <xf numFmtId="164" fontId="0" fillId="0" borderId="0" xfId="0" applyNumberFormat="1" applyAlignment="1" applyProtection="1">
      <alignment horizontal="center" vertical="center" wrapText="1"/>
      <protection hidden="1"/>
    </xf>
    <xf numFmtId="0" fontId="0" fillId="0" borderId="0" xfId="0" applyProtection="1">
      <alignment vertical="center"/>
      <protection hidden="1"/>
    </xf>
    <xf numFmtId="0" fontId="9" fillId="0" borderId="0" xfId="0" applyFont="1" applyAlignment="1" applyProtection="1">
      <alignment horizontal="center" vertical="center" wrapText="1"/>
      <protection hidden="1"/>
    </xf>
    <xf numFmtId="0" fontId="4" fillId="5" borderId="0" xfId="5" applyFont="1" applyFill="1" applyBorder="1" applyAlignment="1" applyProtection="1">
      <alignment horizontal="center" vertical="center" wrapText="1"/>
      <protection hidden="1"/>
    </xf>
    <xf numFmtId="0" fontId="7" fillId="0" borderId="0" xfId="0" applyFont="1" applyAlignment="1" applyProtection="1">
      <alignment horizontal="center" vertical="center"/>
      <protection hidden="1"/>
    </xf>
    <xf numFmtId="0" fontId="9" fillId="0" borderId="0" xfId="0" applyFont="1" applyAlignment="1" applyProtection="1">
      <alignment horizontal="center" vertical="center"/>
      <protection hidden="1"/>
    </xf>
    <xf numFmtId="0" fontId="0" fillId="4" borderId="1" xfId="0" applyFill="1" applyBorder="1" applyAlignment="1">
      <alignment horizontal="center"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7" xfId="0" applyFont="1" applyFill="1" applyBorder="1" applyAlignment="1">
      <alignment horizontal="center" vertical="center"/>
    </xf>
    <xf numFmtId="0" fontId="0" fillId="0" borderId="10" xfId="0" applyBorder="1" applyAlignment="1">
      <alignment horizontal="center" vertical="center"/>
    </xf>
    <xf numFmtId="167" fontId="5" fillId="4" borderId="1" xfId="0" applyNumberFormat="1" applyFont="1" applyFill="1" applyBorder="1" applyAlignment="1">
      <alignment horizontal="center"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0" borderId="0" xfId="0" applyAlignment="1" applyProtection="1">
      <alignment horizontal="center" vertical="center"/>
      <protection hidden="1"/>
    </xf>
    <xf numFmtId="0" fontId="7" fillId="0" borderId="10" xfId="0" applyFont="1" applyBorder="1" applyAlignment="1">
      <alignment horizontal="center"/>
    </xf>
    <xf numFmtId="0" fontId="4" fillId="4" borderId="1" xfId="5" applyFont="1" applyFill="1" applyBorder="1" applyAlignment="1">
      <alignment horizontal="center" vertical="center"/>
    </xf>
    <xf numFmtId="0" fontId="4" fillId="4" borderId="2" xfId="5" applyFont="1" applyFill="1" applyBorder="1" applyAlignment="1">
      <alignment horizontal="center" vertical="center"/>
    </xf>
    <xf numFmtId="0" fontId="4" fillId="4" borderId="3" xfId="5" applyFont="1" applyFill="1" applyBorder="1" applyAlignment="1">
      <alignment horizontal="center" vertical="center"/>
    </xf>
    <xf numFmtId="0" fontId="9" fillId="0" borderId="0" xfId="0" applyFont="1" applyAlignment="1" applyProtection="1">
      <alignment horizontal="center" vertical="center"/>
      <protection hidden="1"/>
    </xf>
    <xf numFmtId="0" fontId="7" fillId="0" borderId="0" xfId="0" applyFont="1" applyAlignment="1" applyProtection="1">
      <alignment horizontal="center" vertical="center"/>
      <protection hidden="1"/>
    </xf>
    <xf numFmtId="0" fontId="7" fillId="0" borderId="0" xfId="0" applyFont="1" applyAlignment="1">
      <alignment horizontal="center"/>
    </xf>
    <xf numFmtId="0" fontId="7" fillId="0" borderId="10" xfId="0" applyFont="1" applyBorder="1" applyAlignment="1">
      <alignment horizontal="center" vertical="center"/>
    </xf>
  </cellXfs>
  <cellStyles count="7">
    <cellStyle name="Date" xfId="2" xr:uid="{706395BA-97FC-304A-8E58-D83804F96FF7}"/>
    <cellStyle name="Done/Overdue" xfId="4" xr:uid="{E8359664-0382-534E-9432-42A25B925231}"/>
    <cellStyle name="Normal" xfId="0" builtinId="0" customBuiltin="1"/>
    <cellStyle name="Normal 2" xfId="1" xr:uid="{82834107-5441-C743-ADE0-38A8D51C5254}"/>
    <cellStyle name="Normal 2 2" xfId="5" xr:uid="{43C0A5A1-2C1C-FF44-B09F-273E97302BD1}"/>
    <cellStyle name="Normal 8" xfId="6" xr:uid="{EC0DB146-97CA-9142-A6F9-D3DC6D843D97}"/>
    <cellStyle name="Percent 2" xfId="3" xr:uid="{20FDDD29-683C-8F4B-A716-550E432D08CF}"/>
  </cellStyles>
  <dxfs count="111">
    <dxf>
      <numFmt numFmtId="0" formatCode="General"/>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numFmt numFmtId="167" formatCode="0.0"/>
      <alignment horizontal="center" vertical="center" textRotation="0" wrapText="0" indent="0" justifyLastLine="0" shrinkToFit="0" readingOrder="0"/>
    </dxf>
    <dxf>
      <numFmt numFmtId="167" formatCode="0.0"/>
      <alignment horizontal="center" vertical="center" textRotation="0" wrapText="0" indent="0" justifyLastLine="0" shrinkToFit="0" readingOrder="0"/>
    </dxf>
    <dxf>
      <font>
        <b/>
      </font>
      <alignment horizontal="center" vertical="center" textRotation="0" wrapText="0" indent="0" justifyLastLine="0" shrinkToFit="0" readingOrder="0"/>
    </dxf>
    <dxf>
      <alignment horizontal="center" vertical="center" textRotation="0" wrapText="0" indent="0" justifyLastLine="0" shrinkToFit="0" readingOrder="0"/>
    </dxf>
    <dxf>
      <font>
        <b val="0"/>
        <i val="0"/>
        <strike val="0"/>
        <condense val="0"/>
        <extend val="0"/>
        <outline val="0"/>
        <shadow val="0"/>
        <u val="none"/>
        <vertAlign val="baseline"/>
        <sz val="12"/>
        <color auto="1"/>
        <name val="Tahoma"/>
        <family val="2"/>
        <scheme val="none"/>
      </font>
      <alignment horizontal="center" vertical="center" textRotation="0" wrapText="1" indent="0" justifyLastLine="0" shrinkToFit="0" readingOrder="0"/>
      <protection locked="1" hidden="1"/>
    </dxf>
    <dxf>
      <font>
        <b val="0"/>
        <i val="0"/>
        <strike val="0"/>
        <condense val="0"/>
        <extend val="0"/>
        <outline val="0"/>
        <shadow val="0"/>
        <u val="none"/>
        <vertAlign val="baseline"/>
        <sz val="12"/>
        <color auto="1"/>
        <name val="Tahoma"/>
        <family val="2"/>
        <scheme val="none"/>
      </font>
      <alignment horizontal="left" vertical="center" textRotation="0" wrapText="1" indent="0" justifyLastLine="0" shrinkToFit="0" readingOrder="0"/>
    </dxf>
    <dxf>
      <font>
        <b val="0"/>
        <i val="0"/>
        <strike val="0"/>
        <condense val="0"/>
        <extend val="0"/>
        <outline val="0"/>
        <shadow val="0"/>
        <u val="none"/>
        <vertAlign val="baseline"/>
        <sz val="12"/>
        <color auto="1"/>
        <name val="Tahoma"/>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auto="1"/>
        <name val="Tahoma"/>
        <family val="2"/>
        <scheme val="none"/>
      </font>
      <alignment horizontal="left" vertical="center" textRotation="0" wrapText="1" indent="0" justifyLastLine="0" shrinkToFit="0" readingOrder="0"/>
    </dxf>
    <dxf>
      <font>
        <b val="0"/>
        <i val="0"/>
        <strike val="0"/>
        <condense val="0"/>
        <extend val="0"/>
        <outline val="0"/>
        <shadow val="0"/>
        <u val="none"/>
        <vertAlign val="baseline"/>
        <sz val="12"/>
        <color auto="1"/>
        <name val="Tahoma"/>
        <family val="2"/>
        <scheme val="none"/>
      </font>
      <alignment horizontal="center" vertical="center" textRotation="0" wrapText="1" indent="0" justifyLastLine="0" shrinkToFit="0" readingOrder="0"/>
    </dxf>
    <dxf>
      <fill>
        <patternFill patternType="solid">
          <fgColor indexed="64"/>
          <bgColor theme="8"/>
        </patternFill>
      </fill>
    </dxf>
    <dxf>
      <font>
        <b val="0"/>
        <i val="0"/>
        <strike val="0"/>
        <condense val="0"/>
        <extend val="0"/>
        <outline val="0"/>
        <shadow val="0"/>
        <u val="none"/>
        <vertAlign val="baseline"/>
        <sz val="12"/>
        <color auto="1"/>
        <name val="Tahoma"/>
        <family val="2"/>
        <scheme val="none"/>
      </font>
      <alignment horizontal="center" vertical="center" textRotation="0" wrapText="1" indent="0" justifyLastLine="0" shrinkToFit="0" readingOrder="0"/>
      <protection locked="1" hidden="1"/>
    </dxf>
    <dxf>
      <font>
        <b val="0"/>
        <i val="0"/>
        <strike val="0"/>
        <condense val="0"/>
        <extend val="0"/>
        <outline val="0"/>
        <shadow val="0"/>
        <u val="none"/>
        <vertAlign val="baseline"/>
        <sz val="12"/>
        <color auto="1"/>
        <name val="Tahoma"/>
        <family val="2"/>
        <scheme val="none"/>
      </font>
      <alignment horizontal="left" vertical="center" textRotation="0" wrapText="1" indent="0" justifyLastLine="0" shrinkToFit="0" readingOrder="0"/>
    </dxf>
    <dxf>
      <font>
        <b val="0"/>
        <i val="0"/>
        <strike val="0"/>
        <condense val="0"/>
        <extend val="0"/>
        <outline val="0"/>
        <shadow val="0"/>
        <u val="none"/>
        <vertAlign val="baseline"/>
        <sz val="12"/>
        <color auto="1"/>
        <name val="Tahoma"/>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auto="1"/>
        <name val="Tahoma"/>
        <family val="2"/>
        <scheme val="none"/>
      </font>
      <alignment horizontal="left" vertical="center" textRotation="0" wrapText="1" indent="0" justifyLastLine="0" shrinkToFit="0" readingOrder="0"/>
    </dxf>
    <dxf>
      <border outline="0">
        <top style="thick">
          <color theme="0"/>
        </top>
      </border>
    </dxf>
    <dxf>
      <font>
        <strike val="0"/>
        <outline val="0"/>
        <shadow val="0"/>
        <u val="none"/>
        <vertAlign val="baseline"/>
        <sz val="12"/>
        <color auto="1"/>
        <name val="Tahoma"/>
        <family val="2"/>
        <scheme val="none"/>
      </font>
    </dxf>
    <dxf>
      <fill>
        <patternFill patternType="solid">
          <fgColor indexed="64"/>
          <bgColor theme="8"/>
        </patternFill>
      </fill>
    </dxf>
    <dxf>
      <font>
        <b val="0"/>
        <i val="0"/>
        <strike val="0"/>
        <condense val="0"/>
        <extend val="0"/>
        <outline val="0"/>
        <shadow val="0"/>
        <u val="none"/>
        <vertAlign val="baseline"/>
        <sz val="12"/>
        <color auto="1"/>
        <name val="Tahoma"/>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auto="1"/>
        <name val="Tahoma"/>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auto="1"/>
        <name val="Tahoma"/>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auto="1"/>
        <name val="Tahoma"/>
        <family val="2"/>
        <scheme val="none"/>
      </font>
      <alignment horizontal="center" vertical="center" textRotation="0" wrapText="0" indent="0" justifyLastLine="0" shrinkToFit="0" readingOrder="0"/>
    </dxf>
    <dxf>
      <font>
        <strike val="0"/>
        <outline val="0"/>
        <shadow val="0"/>
        <u val="none"/>
        <vertAlign val="baseline"/>
        <sz val="12"/>
        <color theme="0"/>
        <name val="Tahoma"/>
        <scheme val="none"/>
      </font>
    </dxf>
    <dxf>
      <font>
        <b val="0"/>
        <i val="0"/>
        <strike val="0"/>
        <condense val="0"/>
        <extend val="0"/>
        <outline val="0"/>
        <shadow val="0"/>
        <u val="none"/>
        <vertAlign val="baseline"/>
        <sz val="12"/>
        <color auto="1"/>
        <name val="Tahoma"/>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auto="1"/>
        <name val="Tahoma"/>
        <family val="2"/>
        <scheme val="none"/>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2"/>
        <color auto="1"/>
        <name val="Tahoma"/>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auto="1"/>
        <name val="Tahoma"/>
        <family val="2"/>
        <scheme val="none"/>
      </font>
      <alignment horizontal="center" vertical="center" textRotation="0" wrapText="0" indent="0" justifyLastLine="0" shrinkToFit="0" readingOrder="0"/>
    </dxf>
    <dxf>
      <font>
        <strike val="0"/>
        <outline val="0"/>
        <shadow val="0"/>
        <u val="none"/>
        <vertAlign val="baseline"/>
        <sz val="12"/>
        <color theme="0"/>
        <name val="Tahoma"/>
        <scheme val="none"/>
      </font>
      <alignment vertical="center" textRotation="0" wrapText="1" justifyLastLine="0" shrinkToFit="0"/>
    </dxf>
    <dxf>
      <numFmt numFmtId="1" formatCode="0"/>
      <alignment horizontal="center" vertical="center" textRotation="0" wrapText="0" indent="0" justifyLastLine="0" shrinkToFit="0" readingOrder="0"/>
    </dxf>
    <dxf>
      <numFmt numFmtId="170" formatCode="[$-F800]dddd\,\ mmmm\ dd\,\ yyyy"/>
      <alignment horizontal="center" vertical="center" textRotation="0" wrapText="0" indent="0" justifyLastLine="0" shrinkToFit="0" readingOrder="0"/>
    </dxf>
    <dxf>
      <numFmt numFmtId="13" formatCode="0%"/>
      <alignment horizontal="right" vertical="center" textRotation="0" wrapText="0" indent="0" justifyLastLine="0" shrinkToFit="0" readingOrder="0"/>
    </dxf>
    <dxf>
      <numFmt numFmtId="170" formatCode="[$-F800]dddd\,\ mmmm\ dd\,\ yyyy"/>
      <alignment horizontal="center" vertical="center" textRotation="0" wrapText="0" indent="0" justifyLastLine="0" shrinkToFit="0" readingOrder="0"/>
    </dxf>
    <dxf>
      <numFmt numFmtId="170" formatCode="[$-F800]dddd\,\ mmmm\ dd\,\ yyyy"/>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numFmt numFmtId="167" formatCode="0.0"/>
      <alignment horizontal="center" vertical="center" textRotation="0" wrapText="0" indent="0" justifyLastLine="0" shrinkToFit="0" readingOrder="0"/>
    </dxf>
    <dxf>
      <numFmt numFmtId="167" formatCode="0.0"/>
      <alignment horizontal="center" vertical="center" textRotation="0" wrapText="0" indent="0" justifyLastLine="0" shrinkToFit="0" readingOrder="0"/>
    </dxf>
    <dxf>
      <numFmt numFmtId="0" formatCode="General"/>
      <protection locked="1" hidden="1"/>
    </dxf>
    <dxf>
      <numFmt numFmtId="0" formatCode="General"/>
      <protection locked="1" hidden="1"/>
    </dxf>
    <dxf>
      <alignment horizontal="center" vertical="center" textRotation="0" wrapText="0" indent="0" justifyLastLine="0" shrinkToFit="0" readingOrder="0"/>
    </dxf>
    <dxf>
      <alignment horizontal="center" vertical="center" textRotation="0" wrapText="0" indent="0" justifyLastLine="0" shrinkToFit="0" readingOrder="0"/>
    </dxf>
    <dxf>
      <numFmt numFmtId="166" formatCode="0.0%"/>
      <alignment horizontal="center" vertical="center" textRotation="0" wrapText="0" indent="0" justifyLastLine="0" shrinkToFit="0" readingOrder="0"/>
    </dxf>
    <dxf>
      <numFmt numFmtId="169" formatCode="0.000"/>
    </dxf>
    <dxf>
      <numFmt numFmtId="169" formatCode="0.000"/>
    </dxf>
    <dxf>
      <numFmt numFmtId="169" formatCode="0.000"/>
    </dxf>
    <dxf>
      <numFmt numFmtId="169" formatCode="0.000"/>
    </dxf>
    <dxf>
      <numFmt numFmtId="169" formatCode="0.00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1" indent="0" justifyLastLine="0" shrinkToFit="0" readingOrder="0"/>
    </dxf>
    <dxf>
      <numFmt numFmtId="165" formatCode="0.000%"/>
      <alignment horizontal="center" vertical="center" textRotation="0" wrapText="1" indent="0" justifyLastLine="0" shrinkToFit="0" readingOrder="0"/>
    </dxf>
    <dxf>
      <numFmt numFmtId="164" formatCode="0.0000%"/>
      <alignment horizontal="center" vertical="center" textRotation="0" wrapText="1" indent="0" justifyLastLine="0" shrinkToFit="0" readingOrder="0"/>
      <protection locked="1" hidden="1"/>
    </dxf>
    <dxf>
      <numFmt numFmtId="164" formatCode="0.0000%"/>
      <alignment horizontal="center" vertical="center" textRotation="0" wrapText="1" indent="0" justifyLastLine="0" shrinkToFit="0" readingOrder="0"/>
      <protection locked="1" hidden="1"/>
    </dxf>
    <dxf>
      <numFmt numFmtId="13" formatCode="0%"/>
      <alignment horizontal="center" vertical="center" textRotation="0" wrapText="1" indent="0" justifyLastLine="0" shrinkToFit="0" readingOrder="0"/>
    </dxf>
    <dxf>
      <numFmt numFmtId="0" formatCode="General"/>
      <alignment horizontal="left" vertical="center" textRotation="0" wrapText="1" indent="0" justifyLastLine="0" shrinkToFit="0" readingOrder="0"/>
    </dxf>
    <dxf>
      <numFmt numFmtId="13" formatCode="0%"/>
      <alignment horizontal="left" vertical="center" textRotation="0" wrapText="1" indent="0" justifyLastLine="0" shrinkToFit="0" readingOrder="0"/>
    </dxf>
    <dxf>
      <numFmt numFmtId="13" formatCode="0%"/>
      <alignment horizontal="left" vertical="center" textRotation="0" wrapText="1" indent="0" justifyLastLine="0" shrinkToFit="0" readingOrder="0"/>
    </dxf>
    <dxf>
      <numFmt numFmtId="165" formatCode="0.000%"/>
      <alignment horizontal="center" vertical="center" textRotation="0" wrapText="1" indent="0" justifyLastLine="0" shrinkToFit="0" readingOrder="0"/>
    </dxf>
    <dxf>
      <numFmt numFmtId="13" formatCode="0%"/>
      <alignment horizontal="center" vertical="center" textRotation="0" wrapText="1" indent="0" justifyLastLine="0" shrinkToFit="0" readingOrder="0"/>
    </dxf>
    <dxf>
      <numFmt numFmtId="0" formatCode="General"/>
      <alignment horizontal="left" vertical="center" textRotation="0" wrapText="1" indent="0" justifyLastLine="0" shrinkToFit="0" readingOrder="0"/>
    </dxf>
    <dxf>
      <numFmt numFmtId="13" formatCode="0%"/>
      <alignment horizontal="left" vertical="center" textRotation="0" wrapText="1" indent="0" justifyLastLine="0" shrinkToFit="0" readingOrder="0"/>
    </dxf>
    <dxf>
      <numFmt numFmtId="13" formatCode="0%"/>
      <alignment horizontal="left" vertical="center" textRotation="0" wrapText="1" indent="0" justifyLastLine="0" shrinkToFit="0" readingOrder="0"/>
    </dxf>
    <dxf>
      <numFmt numFmtId="13" formatCode="0%"/>
      <alignment horizontal="center" vertical="center" textRotation="0" wrapText="1" indent="0" justifyLastLine="0" shrinkToFit="0" readingOrder="0"/>
    </dxf>
    <dxf>
      <numFmt numFmtId="13" formatCode="0%"/>
      <alignment horizontal="center"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0" indent="0" justifyLastLine="0" shrinkToFit="0" readingOrder="0"/>
      <protection locked="1" hidden="1"/>
    </dxf>
    <dxf>
      <alignment horizontal="center" vertical="center" textRotation="0" wrapText="0" indent="0" justifyLastLine="0" shrinkToFit="0" readingOrder="0"/>
    </dxf>
    <dxf>
      <alignment horizontal="general" vertical="center" textRotation="0" wrapText="1" indent="0" justifyLastLine="0" shrinkToFit="0" readingOrder="0"/>
    </dxf>
    <dxf>
      <alignment horizontal="center" vertical="center" textRotation="0" wrapText="0" indent="0" justifyLastLine="0" shrinkToFit="0" readingOrder="0"/>
    </dxf>
    <dxf>
      <border outline="0">
        <top style="medium">
          <color theme="0"/>
        </top>
      </border>
    </dxf>
    <dxf>
      <alignment horizontal="general" vertical="center" textRotation="0" wrapText="0" indent="0" justifyLastLine="0" shrinkToFit="0" readingOrder="0"/>
    </dxf>
    <dxf>
      <alignment horizontal="center" vertical="center" textRotation="0" wrapText="0" indent="0" justifyLastLine="0" shrinkToFit="0" readingOrder="0"/>
    </dxf>
    <dxf>
      <alignment vertical="center" textRotation="0" wrapText="0" indent="0" justifyLastLine="0" shrinkToFit="0" readingOrder="0"/>
    </dxf>
    <dxf>
      <numFmt numFmtId="167" formatCode="0.0"/>
      <alignment horizontal="center" vertical="center" textRotation="0" wrapText="0" indent="0" justifyLastLine="0" shrinkToFit="0" readingOrder="0"/>
      <protection locked="1" hidden="1"/>
    </dxf>
    <dxf>
      <alignment horizontal="center" vertical="center" textRotation="0" wrapText="0" indent="0" justifyLastLine="0" shrinkToFit="0" readingOrder="0"/>
    </dxf>
    <dxf>
      <alignment horizontal="general" vertical="center" textRotation="0" wrapText="1" indent="0" justifyLastLine="0" shrinkToFit="0" readingOrder="0"/>
    </dxf>
    <dxf>
      <alignment horizontal="general" vertical="center" textRotation="0" wrapText="0" indent="0" justifyLastLine="0" shrinkToFit="0" readingOrder="0"/>
    </dxf>
    <dxf>
      <alignment vertical="center" textRotation="0" wrapText="0" indent="0" justifyLastLine="0" shrinkToFit="0" readingOrder="0"/>
    </dxf>
    <dxf>
      <alignment horizontal="center" vertical="center" textRotation="0" wrapText="0" indent="0" justifyLastLine="0" shrinkToFit="0" readingOrder="0"/>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theme="3" tint="0.79998168889431442"/>
        </patternFill>
      </fill>
    </dxf>
    <dxf>
      <font>
        <b/>
        <i val="0"/>
        <color theme="0"/>
      </font>
      <fill>
        <patternFill>
          <bgColor theme="3"/>
        </patternFill>
      </fill>
      <border>
        <top style="thick">
          <color theme="0"/>
        </top>
        <vertical style="thin">
          <color theme="0"/>
        </vertical>
      </border>
    </dxf>
    <dxf>
      <border>
        <vertical style="thin">
          <color theme="0" tint="-0.24994659260841701"/>
        </vertical>
      </border>
    </dxf>
  </dxfs>
  <tableStyles count="1" defaultTableStyle="TableStyleMedium2" defaultPivotStyle="PivotStyleLight16">
    <tableStyle name="To Do List" pivot="0" count="3" xr9:uid="{EBEDEBD6-A908-1442-8C8C-A499CE6D04AE}">
      <tableStyleElement type="wholeTable" dxfId="110"/>
      <tableStyleElement type="headerRow" dxfId="109"/>
      <tableStyleElement type="secondRowStripe" dxfId="10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3.tiff"/></Relationships>
</file>

<file path=xl/drawings/_rels/drawing3.xml.rels><?xml version="1.0" encoding="UTF-8" standalone="yes"?>
<Relationships xmlns="http://schemas.openxmlformats.org/package/2006/relationships"><Relationship Id="rId1" Type="http://schemas.openxmlformats.org/officeDocument/2006/relationships/image" Target="../media/image4.tiff"/></Relationships>
</file>

<file path=xl/drawings/_rels/drawing4.xml.rels><?xml version="1.0" encoding="UTF-8" standalone="yes"?>
<Relationships xmlns="http://schemas.openxmlformats.org/package/2006/relationships"><Relationship Id="rId1" Type="http://schemas.openxmlformats.org/officeDocument/2006/relationships/image" Target="../media/image5.tiff"/></Relationships>
</file>

<file path=xl/drawings/_rels/drawing5.xml.rels><?xml version="1.0" encoding="UTF-8" standalone="yes"?>
<Relationships xmlns="http://schemas.openxmlformats.org/package/2006/relationships"><Relationship Id="rId1" Type="http://schemas.openxmlformats.org/officeDocument/2006/relationships/image" Target="../media/image6.tif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254000</xdr:colOff>
      <xdr:row>3</xdr:row>
      <xdr:rowOff>63500</xdr:rowOff>
    </xdr:to>
    <xdr:pic>
      <xdr:nvPicPr>
        <xdr:cNvPr id="4" name="Picture 3">
          <a:extLst>
            <a:ext uri="{FF2B5EF4-FFF2-40B4-BE49-F238E27FC236}">
              <a16:creationId xmlns:a16="http://schemas.microsoft.com/office/drawing/2014/main" id="{3867AA13-F00C-044C-BCCB-166D5C4554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59000" cy="635000"/>
        </a:xfrm>
        <a:prstGeom prst="rect">
          <a:avLst/>
        </a:prstGeom>
      </xdr:spPr>
    </xdr:pic>
    <xdr:clientData/>
  </xdr:twoCellAnchor>
  <xdr:twoCellAnchor editAs="oneCell">
    <xdr:from>
      <xdr:col>0</xdr:col>
      <xdr:colOff>406400</xdr:colOff>
      <xdr:row>5</xdr:row>
      <xdr:rowOff>165100</xdr:rowOff>
    </xdr:from>
    <xdr:to>
      <xdr:col>10</xdr:col>
      <xdr:colOff>50800</xdr:colOff>
      <xdr:row>49</xdr:row>
      <xdr:rowOff>58352</xdr:rowOff>
    </xdr:to>
    <xdr:pic>
      <xdr:nvPicPr>
        <xdr:cNvPr id="6" name="Picture 5">
          <a:extLst>
            <a:ext uri="{FF2B5EF4-FFF2-40B4-BE49-F238E27FC236}">
              <a16:creationId xmlns:a16="http://schemas.microsoft.com/office/drawing/2014/main" id="{07335B2A-6FE8-A440-B3A1-3EA9BB16FDC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06400" y="1117600"/>
          <a:ext cx="9169400" cy="82752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12700</xdr:colOff>
      <xdr:row>0</xdr:row>
      <xdr:rowOff>0</xdr:rowOff>
    </xdr:from>
    <xdr:to>
      <xdr:col>2</xdr:col>
      <xdr:colOff>1117600</xdr:colOff>
      <xdr:row>3</xdr:row>
      <xdr:rowOff>25400</xdr:rowOff>
    </xdr:to>
    <xdr:pic>
      <xdr:nvPicPr>
        <xdr:cNvPr id="6" name="Picture 5">
          <a:extLst>
            <a:ext uri="{FF2B5EF4-FFF2-40B4-BE49-F238E27FC236}">
              <a16:creationId xmlns:a16="http://schemas.microsoft.com/office/drawing/2014/main" id="{D564074D-B04D-1943-AE31-316145B31F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 y="0"/>
          <a:ext cx="2159000" cy="635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12700</xdr:colOff>
      <xdr:row>0</xdr:row>
      <xdr:rowOff>12700</xdr:rowOff>
    </xdr:from>
    <xdr:to>
      <xdr:col>2</xdr:col>
      <xdr:colOff>1219200</xdr:colOff>
      <xdr:row>3</xdr:row>
      <xdr:rowOff>76200</xdr:rowOff>
    </xdr:to>
    <xdr:pic>
      <xdr:nvPicPr>
        <xdr:cNvPr id="2" name="Picture 1">
          <a:extLst>
            <a:ext uri="{FF2B5EF4-FFF2-40B4-BE49-F238E27FC236}">
              <a16:creationId xmlns:a16="http://schemas.microsoft.com/office/drawing/2014/main" id="{C2F17885-28DE-3A43-BEFE-DA5381E354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2700"/>
          <a:ext cx="2159000" cy="635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1333500</xdr:colOff>
      <xdr:row>1</xdr:row>
      <xdr:rowOff>127000</xdr:rowOff>
    </xdr:to>
    <xdr:pic>
      <xdr:nvPicPr>
        <xdr:cNvPr id="2" name="Picture 1">
          <a:extLst>
            <a:ext uri="{FF2B5EF4-FFF2-40B4-BE49-F238E27FC236}">
              <a16:creationId xmlns:a16="http://schemas.microsoft.com/office/drawing/2014/main" id="{FBE81D16-F078-6242-B813-FFBE738EF7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59000" cy="635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177800</xdr:colOff>
      <xdr:row>1</xdr:row>
      <xdr:rowOff>190500</xdr:rowOff>
    </xdr:to>
    <xdr:pic>
      <xdr:nvPicPr>
        <xdr:cNvPr id="2" name="Picture 1">
          <a:extLst>
            <a:ext uri="{FF2B5EF4-FFF2-40B4-BE49-F238E27FC236}">
              <a16:creationId xmlns:a16="http://schemas.microsoft.com/office/drawing/2014/main" id="{6579E639-9651-0543-B12A-AFC89CB426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59000" cy="6350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5ED463F-89E7-C64F-83E1-D77C36CD1797}" name="tbl_ed" displayName="tbl_ed" ref="B6:F24" totalsRowShown="0" headerRowDxfId="101" dataDxfId="100">
  <autoFilter ref="B6:F24" xr:uid="{5045D1AE-6D3F-3C41-B0FB-054F7193939C}"/>
  <tableColumns count="5">
    <tableColumn id="4" xr3:uid="{5560AE1D-1363-484F-B991-56F419096DBA}" name="EDF ID" dataDxfId="99"/>
    <tableColumn id="1" xr3:uid="{A8B3E5FC-4FC3-D74B-A297-23F3E6CC81F4}" name="EDF Issue" dataDxfId="98"/>
    <tableColumn id="2" xr3:uid="{AA01AC94-4FEA-1747-9CAA-4397B473CC70}" name="EDF Response" dataDxfId="97"/>
    <tableColumn id="3" xr3:uid="{AE80A10D-9CBB-2B44-9CCA-67F0A93B6E55}" name="EDF Score" dataDxfId="96"/>
    <tableColumn id="5" xr3:uid="{C38EE761-D2C6-B648-895F-C8145EE6D7C1}" name="EDF Resolution" dataDxfId="95"/>
  </tableColumns>
  <tableStyleInfo name="TableStyleMedium13"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C287AB5E-810E-D94E-9AF5-EFC45A905412}" name="Table11" displayName="Table11" ref="G9:H13" totalsRowShown="0" headerRowDxfId="7" dataDxfId="6">
  <autoFilter ref="G9:H13" xr:uid="{2FCD194D-1FE7-3A48-B77D-597ED9FEE5D8}"/>
  <tableColumns count="2">
    <tableColumn id="1" xr3:uid="{BB38CAFF-A09D-7F45-8C4E-9F6C54C05D7C}" name="Use Case" dataDxfId="5"/>
    <tableColumn id="2" xr3:uid="{587C9591-63AF-DD42-9676-4BB64841F31C}" name="Count" dataDxfId="4">
      <calculatedColumnFormula>COUNTIF(tbl_use_case_complexity[Use Case Complexity],"Simple")</calculatedColumnFormula>
    </tableColumn>
  </tableColumns>
  <tableStyleInfo name="TableStyleMedium13" showFirstColumn="1"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386257A4-106D-2042-A7AD-3B39F7200982}" name="Table13" displayName="Table13" ref="I9:J13" totalsRowShown="0" headerRowDxfId="3" dataDxfId="2">
  <autoFilter ref="I9:J13" xr:uid="{D54067EC-668A-2842-A4D8-3D8DD00B9B68}"/>
  <tableColumns count="2">
    <tableColumn id="1" xr3:uid="{439AD020-D364-BC4D-A637-540F42E4FF5F}" name="Actor" dataDxfId="1"/>
    <tableColumn id="2" xr3:uid="{55292BF2-A644-E541-A5C2-83BB408105E1}" name="Count" dataDxfId="0">
      <calculatedColumnFormula>COUNTIF(tblactor_complexity[Actor Complexity],"Simple")</calculatedColumnFormula>
    </tableColumn>
  </tableColumns>
  <tableStyleInfo name="TableStyleMedium13"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F0AD23A-04A1-EE47-97AF-625363D7FC34}" name="tbl_internal_planning_factors" displayName="tbl_internal_planning_factors" ref="B28:F40" totalsRowShown="0" headerRowDxfId="94" dataDxfId="93" tableBorderDxfId="92">
  <autoFilter ref="B28:F40" xr:uid="{0D152175-0D7A-AD41-BC8B-FEC64402AD38}"/>
  <tableColumns count="5">
    <tableColumn id="1" xr3:uid="{CB68A7B4-811E-4348-89C6-EB5E7A1A1FDE}" name="IPF ID" dataDxfId="91"/>
    <tableColumn id="2" xr3:uid="{8C2DBA95-339B-EE47-B1F7-3E6E10741538}" name="IPF Issue" dataDxfId="90"/>
    <tableColumn id="3" xr3:uid="{BA89376E-9CC0-C543-BC39-6C37800CAE53}" name="IPF Response" dataDxfId="89"/>
    <tableColumn id="4" xr3:uid="{5F3193C4-A080-ED4B-A360-62B059C13E77}" name="EDF Score" dataDxfId="88"/>
    <tableColumn id="5" xr3:uid="{E0FEE8FC-A17A-DD40-B506-B7225143F5DF}" name="IPF Resolution" dataDxfId="87"/>
  </tableColumns>
  <tableStyleInfo name="TableStyleMedium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2DD81C7-1220-9046-9CC3-91EB214DAC7D}" name="tbl_threat_analysis" displayName="tbl_threat_analysis" ref="B6:R27" totalsRowShown="0" headerRowDxfId="86" dataDxfId="85">
  <autoFilter ref="B6:R27" xr:uid="{3D8F13C1-A800-F34B-AACB-E404A4B478D9}"/>
  <tableColumns count="17">
    <tableColumn id="1" xr3:uid="{A5345BD7-111A-C148-B72F-4695F8247182}" name="ID" dataDxfId="84"/>
    <tableColumn id="2" xr3:uid="{7D139F22-4803-284D-A13A-B85F7E8DD09F}" name="Threat" dataDxfId="83"/>
    <tableColumn id="19" xr3:uid="{29B5A7CA-35D2-104A-92A6-1675418508E3}" name="Initial Evidence" dataDxfId="82"/>
    <tableColumn id="3" xr3:uid="{200BA722-CBC8-D642-B873-54CA975FC2B5}" name="Degree of Belief the Threat is True Given Initial Evidence" dataDxfId="81"/>
    <tableColumn id="4" xr3:uid="{855C29DC-97D6-C04E-BD8D-ECAB0F17A361}" name="Inverse of Belief the Threat Event is True Given Condition" dataDxfId="80">
      <calculatedColumnFormula>IF(tbl_threat_analysis[[#This Row],[Degree of Belief the Threat is True Given Initial Evidence]]=0,"",100%-tbl_threat_analysis[[#This Row],[Degree of Belief the Threat is True Given Initial Evidence]])</calculatedColumnFormula>
    </tableColumn>
    <tableColumn id="20" xr3:uid="{B28F726A-7868-1648-887C-9D69B0742EF0}" name="First Conditional Outcome" dataDxfId="79"/>
    <tableColumn id="16" xr3:uid="{C87C02FC-D935-5648-B5C8-74EE7FF38733}" name="Evidence for First Conditional Outcome" dataDxfId="78"/>
    <tableColumn id="5" xr3:uid="{3691D186-42A1-4F44-92F2-8C34E8AA4DE9}" name="First Conditional Outcome Given Its Evidence" dataDxfId="77">
      <calculatedColumnFormula>IF(tbl_threat_analysis[[#This Row],[Degree of Belief the Threat is True Given Initial Evidence]]=0,"","Because "&amp;tbl_threat_analysis[[#This Row],[Evidence for First Conditional Outcome]]&amp;" "&amp;tbl_threat_analysis[[#This Row],[First Conditional Outcome]]&amp;" given "&amp;tbl_threat_analysis[[#This Row],[Threat]])</calculatedColumnFormula>
    </tableColumn>
    <tableColumn id="10" xr3:uid="{7F8BE154-DC43-5244-8283-5C0E75C7A7F2}" name="Degree of Belief of First Conditional Outcome Given Its Evidence" dataDxfId="76"/>
    <tableColumn id="32" xr3:uid="{D2B8798C-5E9C-8547-8327-CE980094A38C}" name="Probability of First Conditional Outcome Given Its Evidence" dataDxfId="75">
      <calculatedColumnFormula>IF(tbl_threat_analysis[[#This Row],[Degree of Belief the Threat is True Given Initial Evidence]]=0,"",tbl_threat_analysis[[#This Row],[Joint Belief Given Threat Event AND First Conditional Outcome]]/SUM(tbl_threat_analysis[[#This Row],[Joint Belief Given Threat Event AND First Conditional Outcome]:[Joint Belief Given Threat Event AND Second Conditional Outcome]]))</calculatedColumnFormula>
    </tableColumn>
    <tableColumn id="15" xr3:uid="{04EF8D27-F150-4E42-B1AB-F10B21E979F8}" name="Second Conditional Outcome" dataDxfId="74"/>
    <tableColumn id="21" xr3:uid="{FFE3FDAA-EBC7-244B-A827-49BB3F2F96DF}" name="Evidence for Second Conditional Outcome" dataDxfId="73"/>
    <tableColumn id="22" xr3:uid="{DD5C255F-0A74-BC49-B0E3-536EB6DA0BCB}" name="Second Conditional Outcome Given Its Evidence" dataDxfId="72">
      <calculatedColumnFormula>IF(tbl_threat_analysis[[#This Row],[Degree of Belief the Threat is True Given Initial Evidence]]=0,"","Because "&amp;tbl_threat_analysis[[#This Row],[Evidence for Second Conditional Outcome]]&amp;" "&amp;tbl_threat_analysis[[#This Row],[Second Conditional Outcome]]&amp;" given "&amp;tbl_threat_analysis[[#This Row],[Threat]])</calculatedColumnFormula>
    </tableColumn>
    <tableColumn id="12" xr3:uid="{80145543-ACF3-BA45-8211-4A0186826121}" name="Degree of Belief of Second Conditional Outcome Given Its Evidence" dataDxfId="71"/>
    <tableColumn id="6" xr3:uid="{F9450FC8-57E4-7E4B-870C-E351AE0A53F2}" name="Joint Belief Given Threat Event AND First Conditional Outcome" dataDxfId="70">
      <calculatedColumnFormula>IF(tbl_threat_analysis[[#This Row],[Degree of Belief the Threat is True Given Initial Evidence]]=0,"",tbl_threat_analysis[[#This Row],[Degree of Belief the Threat is True Given Initial Evidence]]*tbl_threat_analysis[[#This Row],[Degree of Belief of First Conditional Outcome Given Its Evidence]])</calculatedColumnFormula>
    </tableColumn>
    <tableColumn id="13" xr3:uid="{7156A6DC-7DB5-2144-89BF-5EA8282D4E6D}" name="Joint Belief Given Threat Event AND Second Conditional Outcome" dataDxfId="69">
      <calculatedColumnFormula>IF(tbl_threat_analysis[[#This Row],[Degree of Belief the Threat is True Given Initial Evidence]]=0,"",tbl_threat_analysis[[#This Row],[Inverse of Belief the Threat Event is True Given Condition]]*tbl_threat_analysis[[#This Row],[Degree of Belief of Second Conditional Outcome Given Its Evidence]])</calculatedColumnFormula>
    </tableColumn>
    <tableColumn id="14" xr3:uid="{F33A69A5-FE20-724E-928A-5DEB6834E715}" name="Probability of Second Conditional Outcome Given Its Evidence" dataDxfId="68">
      <calculatedColumnFormula>IF(tbl_threat_analysis[[#This Row],[Degree of Belief the Threat is True Given Initial Evidence]]=0,"",tbl_threat_analysis[[#This Row],[Joint Belief Given Threat Event AND Second Conditional Outcome]]/SUM(tbl_threat_analysis[[#This Row],[Joint Belief Given Threat Event AND First Conditional Outcome]:[Joint Belief Given Threat Event AND Second Conditional Outcome]]))</calculatedColumnFormula>
    </tableColumn>
  </tableColumns>
  <tableStyleInfo name="TableStyleMedium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490ACD8-7E52-D94A-BBB2-95506592732A}" name="tbl_BA_activities" displayName="tbl_BA_activities" ref="B4:AI41" totalsRowShown="0" headerRowDxfId="67">
  <autoFilter ref="B4:AI41" xr:uid="{54177E74-27FD-6644-959F-AEA4487E5097}"/>
  <tableColumns count="34">
    <tableColumn id="1" xr3:uid="{2A8F563F-F0AE-F646-B7F9-B6941E25C70D}" name="ID"/>
    <tableColumn id="2" xr3:uid="{3198FE9F-2E35-EA48-A553-69E1A2A9CC1E}" name="BA Activity"/>
    <tableColumn id="3" xr3:uid="{560D4CBE-3BC0-6742-B0EE-2881D1118F2C}" name="R" dataDxfId="66"/>
    <tableColumn id="4" xr3:uid="{A68E6160-BB3D-F244-80DD-E92E9AC2A49A}" name="A" dataDxfId="65"/>
    <tableColumn id="5" xr3:uid="{8D204E56-D21A-504F-AA5C-DA1CF40548D6}" name="S" dataDxfId="64"/>
    <tableColumn id="6" xr3:uid="{87C000BE-5456-F74D-B2B3-EADEE5A4EBC0}" name="C" dataDxfId="63"/>
    <tableColumn id="7" xr3:uid="{B17570B6-4294-ED47-9C8C-CE3B8E99A841}" name="I" dataDxfId="62"/>
    <tableColumn id="8" xr3:uid="{82FA5386-8697-BB45-834C-BE1C3C020F95}" name="Worst" dataDxfId="61"/>
    <tableColumn id="9" xr3:uid="{76AC9A6A-6122-7444-B5C6-7C901DE27FEC}" name="ML" dataDxfId="60"/>
    <tableColumn id="10" xr3:uid="{6020D4A2-610F-F640-9FBE-A90848F4053B}" name="Best" dataDxfId="59"/>
    <tableColumn id="11" xr3:uid="{E7CDDAF8-21FD-294F-9534-1FCCCC001C12}" name="Mean (of the number set)" dataDxfId="58">
      <calculatedColumnFormula>((tbl_BA_activities[[#This Row],[Worst]]+tbl_BA_activities[[#This Row],[ML]]+tbl_BA_activities[[#This Row],[Best]])/3)</calculatedColumnFormula>
    </tableColumn>
    <tableColumn id="12" xr3:uid="{C8D08353-16FC-D645-865C-B1717608B5FD}" name="Variance (of the number set)" dataDxfId="57">
      <calculatedColumnFormula>((((tbl_BA_activities[[#This Row],[Worst]])- tbl_BA_activities[[#This Row],[Mean (of the number set)]])^2 +((tbl_BA_activities[[#This Row],[ML]])- tbl_BA_activities[[#This Row],[Mean (of the number set)]])^2+((tbl_BA_activities[[#This Row],[Best]])- tbl_BA_activities[[#This Row],[Mean (of the number set)]])^2)/3)</calculatedColumnFormula>
    </tableColumn>
    <tableColumn id="13" xr3:uid="{6DD8873C-CF79-B944-BDAB-22BAC4A93EA1}" name="(x-mean)^2" dataDxfId="56">
      <calculatedColumnFormula>(((tbl_BA_activities[[#This Row],[Worst]])- tbl_BA_activities[[#This Row],[Mean (of the number set)]])^2 +((tbl_BA_activities[[#This Row],[ML]])- tbl_BA_activities[[#This Row],[Mean (of the number set)]])^2+((tbl_BA_activities[[#This Row],[Best]])- tbl_BA_activities[[#This Row],[Mean (of the number set)]])^2)</calculatedColumnFormula>
    </tableColumn>
    <tableColumn id="14" xr3:uid="{2C586E92-8B9F-1E4A-A199-DB6DA2A604E1}" name="sigma" dataDxfId="55">
      <calculatedColumnFormula>SQRT(tbl_BA_activities[[#This Row],[Variance (of the number set)]])</calculatedColumnFormula>
    </tableColumn>
    <tableColumn id="15" xr3:uid="{42CA7DE6-4F12-3946-A54C-D8932BBEBADA}" name="z-score" dataDxfId="54">
      <calculatedColumnFormula>IF(tbl_BA_activities[[#This Row],[ML]]=0,"",(tbl_BA_activities[[#This Row],[ML]]-tbl_BA_activities[[#This Row],[Mean (of the number set)]])/tbl_BA_activities[[#This Row],[sigma]])</calculatedColumnFormula>
    </tableColumn>
    <tableColumn id="22" xr3:uid="{64F519DD-382A-E242-A699-88F8560232E2}" name="Availability" dataDxfId="53"/>
    <tableColumn id="16" xr3:uid="{330DFB62-B0AD-5D49-8F6D-78E25B437012}" name="Efficiency Adjustment" dataDxfId="52"/>
    <tableColumn id="18" xr3:uid="{BFB82059-BED1-D744-A722-DEDDB24E8D46}" name="Proficiency Adjustment" dataDxfId="51"/>
    <tableColumn id="17" xr3:uid="{B716F445-E9CC-8341-84D6-45CADCCE546D}" name="X" dataDxfId="50">
      <calculatedColumnFormula>IF(tbl_BA_activities[[#This Row],[Efficiency Adjustment]]="Efficient",0.8,IF(tbl_BA_activities[[#This Row],[Efficiency Adjustment]]="Average",0.7,IF(tbl_BA_activities[[#This Row],[Efficiency Adjustment]]="Inefficient",0.6,0)))</calculatedColumnFormula>
    </tableColumn>
    <tableColumn id="19" xr3:uid="{821304D4-A014-A04A-9D96-981430C6558E}" name="Y" dataDxfId="49">
      <calculatedColumnFormula>IF(tbl_BA_activities[[#This Row],[Proficiency Adjustment]]="Experienced",0.85,IF(tbl_BA_activities[[#This Row],[Proficiency Adjustment]]="Average",1,IF(tbl_BA_activities[[#This Row],[Proficiency Adjustment]]="Inexperienced",1.24,0)))</calculatedColumnFormula>
    </tableColumn>
    <tableColumn id="20" xr3:uid="{8EED8C7E-8AD5-DB40-AA51-7409E8513072}" name="Adjusted Effort Hours" dataDxfId="48">
      <calculatedColumnFormula>IF(OR(tbl_BA_activities[[#This Row],[Mean (of the number set)]]=0,tbl_BA_activities[[#This Row],[X]]=0,4=0),0,(tbl_BA_activities[[#This Row],[Mean (of the number set)]]/tbl_BA_activities[[#This Row],[X]])*tbl_BA_activities[[#This Row],[Y]])</calculatedColumnFormula>
    </tableColumn>
    <tableColumn id="21" xr3:uid="{CBC452C3-ED83-414C-8DA5-19AC5237CA57}" name="Adjusted Duration in Hours" dataDxfId="47">
      <calculatedColumnFormula>IF(OR(tbl_BA_activities[[#This Row],[Mean (of the number set)]]=0,tbl_BA_activities[[#This Row],[X]]=0,4=0),0,tbl_BA_activities[[#This Row],[Adjusted Effort Hours]]/tbl_BA_activities[[#This Row],[Availability]])</calculatedColumnFormula>
    </tableColumn>
    <tableColumn id="23" xr3:uid="{931EBBB2-4F95-DA44-A255-4906A1E818EA}" name="−2σ" dataDxfId="46">
      <calculatedColumnFormula>tbl_BA_activities[[#This Row],[Adjusted Duration in Hours]]-2*tbl_BA_activities[[#This Row],[sigma]]</calculatedColumnFormula>
    </tableColumn>
    <tableColumn id="24" xr3:uid="{AB0D6DD5-5DC2-E548-B72B-3BBBD36EA9C3}" name="−1σ" dataDxfId="45">
      <calculatedColumnFormula>tbl_BA_activities[[#This Row],[Adjusted Duration in Hours]]-1*tbl_BA_activities[[#This Row],[sigma]]</calculatedColumnFormula>
    </tableColumn>
    <tableColumn id="25" xr3:uid="{D4BF676E-F1D8-F140-B81E-CA416C882623}" name="0σ" dataDxfId="44">
      <calculatedColumnFormula>tbl_BA_activities[[#This Row],[Adjusted Duration in Hours]]-0*tbl_BA_activities[[#This Row],[sigma]]</calculatedColumnFormula>
    </tableColumn>
    <tableColumn id="26" xr3:uid="{54B1D50D-8C91-1E48-A512-6120B8CF862E}" name="+1σ" dataDxfId="43">
      <calculatedColumnFormula>tbl_BA_activities[[#This Row],[Adjusted Duration in Hours]]+1*tbl_BA_activities[[#This Row],[sigma]]</calculatedColumnFormula>
    </tableColumn>
    <tableColumn id="27" xr3:uid="{E8A1FD7A-A511-8A4E-ADD2-380CC4BCED1A}" name="+2σ" dataDxfId="42">
      <calculatedColumnFormula>tbl_BA_activities[[#This Row],[Adjusted Duration in Hours]]+2*tbl_BA_activities[[#This Row],[sigma]]</calculatedColumnFormula>
    </tableColumn>
    <tableColumn id="28" xr3:uid="{AD51A256-7F25-7141-AE10-CD7F81F92C64}" name="Priority " dataDxfId="41"/>
    <tableColumn id="29" xr3:uid="{0C789DAB-03B2-7D4F-918D-09A10B09C9EE}" name="Status" dataDxfId="40"/>
    <tableColumn id="30" xr3:uid="{C75B3B1C-9D33-B342-91F1-514E87DB8A0A}" name="Start Date" dataDxfId="39"/>
    <tableColumn id="31" xr3:uid="{982D5AF9-683D-9341-B039-12FC724D3D6F}" name="Due Date" dataDxfId="38"/>
    <tableColumn id="32" xr3:uid="{00A2DC3A-F832-C447-AB6D-33E372AB755A}" name="% Complete" dataDxfId="37"/>
    <tableColumn id="37" xr3:uid="{9C043DAF-528D-724C-998A-B29B807DC446}" name="Date Completed" dataDxfId="36"/>
    <tableColumn id="38" xr3:uid="{89E588A8-54CC-C647-AAC5-ECD5DC6A6FE0}" name="Days Overdue" dataDxfId="35">
      <calculatedColumnFormula>IF(ISBLANK(tbl_BA_activities[[#This Row],[Due Date]]),"",IF(TODAY()&gt;tbl_BA_activities[[#This Row],[Due Date]],TODAY()-tbl_BA_activities[[#This Row],[Due Date]],0))</calculatedColumnFormula>
    </tableColumn>
  </tableColumns>
  <tableStyleInfo name="TableStyleMedium13"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CB425D4-3E51-1444-80F9-56F86E403F37}" name="tblactor_complexity" displayName="tblactor_complexity" ref="B4:D14" totalsRowShown="0" headerRowDxfId="34" dataDxfId="33">
  <autoFilter ref="B4:D14" xr:uid="{7520347B-CD67-F240-B793-729F5B0A4CF8}"/>
  <tableColumns count="3">
    <tableColumn id="1" xr3:uid="{09EAC9EF-0B0A-764E-92B4-4DF816C27357}" name="Actor ID" dataDxfId="32"/>
    <tableColumn id="2" xr3:uid="{A33A3883-9786-5D44-8BA0-6CB6C68AD532}" name="Actor Complexity" dataDxfId="31"/>
    <tableColumn id="4" xr3:uid="{8F953178-0A61-E149-AFA5-9BCF0A990B8C}" name="Actor Name" dataDxfId="30"/>
  </tableColumns>
  <tableStyleInfo name="TableStyleMedium13"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ED0D84A-7ABC-E846-9E9C-6D5FC170352B}" name="tbl_use_case_complexity" displayName="tbl_use_case_complexity" ref="B18:D38" totalsRowShown="0" headerRowDxfId="29" dataDxfId="28">
  <autoFilter ref="B18:D38" xr:uid="{382D7B95-6F1C-854F-9D41-934D97443A0F}"/>
  <tableColumns count="3">
    <tableColumn id="1" xr3:uid="{A0FE5FD9-3ECB-0F47-BA49-C626534F1AEE}" name="UC ID" dataDxfId="27"/>
    <tableColumn id="2" xr3:uid="{B87E851C-4FDF-9940-B25C-C07BC64C9F54}" name="Use Case Complexity" dataDxfId="26"/>
    <tableColumn id="4" xr3:uid="{83ADF7F1-D3BC-354A-9758-5FCBE3737378}" name="Use Case Name" dataDxfId="25"/>
  </tableColumns>
  <tableStyleInfo name="TableStyleMedium13"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DA1C57C-0D03-AD41-A017-D2B4FE1FCDCD}" name="tb_tech_use_case" displayName="tb_tech_use_case" ref="B42:E55" totalsRowShown="0" headerRowDxfId="24" dataDxfId="23" tableBorderDxfId="22">
  <autoFilter ref="B42:E55" xr:uid="{0335530C-FAB1-D442-88EF-AF17E8A81B5F}"/>
  <tableColumns count="4">
    <tableColumn id="1" xr3:uid="{D5631648-BE3C-9C47-8FDF-2D02896546D6}" name="Question" dataDxfId="21"/>
    <tableColumn id="2" xr3:uid="{E5D36112-EE27-F749-9584-4BB2862C532F}" name="Importance" dataDxfId="20"/>
    <tableColumn id="3" xr3:uid="{1D080B08-905D-F845-9D28-9C8260CA48AE}" name="Description" dataDxfId="19"/>
    <tableColumn id="4" xr3:uid="{EA5BA0C2-F28F-E84A-8018-C1C3F7783E62}" name="Technical Complexity Factor (TCF) Score (Hidden)" dataDxfId="18"/>
  </tableColumns>
  <tableStyleInfo name="TableStyleMedium13"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17F7345-ECA1-AA4A-AF2C-1170EC12215A}" name="tbl_environmental_use_case" displayName="tbl_environmental_use_case" ref="B59:E67" totalsRowShown="0" headerRowDxfId="17" dataDxfId="16">
  <autoFilter ref="B59:E67" xr:uid="{B3922F81-2543-B942-944F-90D8B0E8DFE5}"/>
  <tableColumns count="4">
    <tableColumn id="1" xr3:uid="{83DF0F1E-A3DA-F048-AD7A-1536CE852F2B}" name="Question" dataDxfId="15"/>
    <tableColumn id="2" xr3:uid="{2C97CCCA-081C-8B42-91EA-D835A3B33D17}" name="Importance" dataDxfId="14"/>
    <tableColumn id="3" xr3:uid="{6A04D0D2-5218-D344-B52F-E62A36D0B8D6}" name="Description" dataDxfId="13"/>
    <tableColumn id="4" xr3:uid="{5AFA324B-05C8-A94E-8220-3DA852CE345C}" name="Environmental Complexity Factor (ECF) (Hidden)" dataDxfId="12"/>
  </tableColumns>
  <tableStyleInfo name="TableStyleMedium13"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BC31B61-DBA3-954E-9E8F-24782D41792A}" name="tbl_uc_hours" displayName="tbl_uc_hours" ref="G4:I6" totalsRowShown="0" headerRowDxfId="11">
  <autoFilter ref="G4:I6" xr:uid="{097F7C0B-F50E-5D41-9F26-E7E1CBC9E808}"/>
  <tableColumns count="3">
    <tableColumn id="1" xr3:uid="{8E2F29DC-F4C6-0B4F-93F6-C84B7346EAB2}" name="Contition" dataDxfId="10"/>
    <tableColumn id="2" xr3:uid="{508D2A00-8319-694C-A9AC-8B7C12D0EC62}" name="Hours" dataDxfId="9">
      <calculatedColumnFormula>(UC_Analysis!$D$39+UC_Analysis!$D$15)*UC_Analysis!$D$56*UC_Analysis!$D$68</calculatedColumnFormula>
    </tableColumn>
    <tableColumn id="3" xr3:uid="{2B3A78A3-7146-4342-B596-FBC650897651}" name="Days (7.5)" dataDxfId="8">
      <calculatedColumnFormula>H6/7.5</calculatedColumnFormula>
    </tableColumn>
  </tableColumns>
  <tableStyleInfo name="TableStyleMedium13" showFirstColumn="1" showLastColumn="0" showRowStripes="1" showColumnStripes="0"/>
</table>
</file>

<file path=xl/theme/theme1.xml><?xml version="1.0" encoding="utf-8"?>
<a:theme xmlns:a="http://schemas.openxmlformats.org/drawingml/2006/main" name="Droplet">
  <a:themeElements>
    <a:clrScheme name="Droplet">
      <a:dk1>
        <a:sysClr val="windowText" lastClr="000000"/>
      </a:dk1>
      <a:lt1>
        <a:sysClr val="window" lastClr="FFFFFF"/>
      </a:lt1>
      <a:dk2>
        <a:srgbClr val="355071"/>
      </a:dk2>
      <a:lt2>
        <a:srgbClr val="AABED7"/>
      </a:lt2>
      <a:accent1>
        <a:srgbClr val="2FA3EE"/>
      </a:accent1>
      <a:accent2>
        <a:srgbClr val="4BCAAD"/>
      </a:accent2>
      <a:accent3>
        <a:srgbClr val="86C157"/>
      </a:accent3>
      <a:accent4>
        <a:srgbClr val="D99C3F"/>
      </a:accent4>
      <a:accent5>
        <a:srgbClr val="CE6633"/>
      </a:accent5>
      <a:accent6>
        <a:srgbClr val="A35DD1"/>
      </a:accent6>
      <a:hlink>
        <a:srgbClr val="56BCFE"/>
      </a:hlink>
      <a:folHlink>
        <a:srgbClr val="97C5E3"/>
      </a:folHlink>
    </a:clrScheme>
    <a:fontScheme name="Droplet">
      <a:majorFont>
        <a:latin typeface="Tw Cen MT" panose="020B0602020104020603"/>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Tw Cen MT" panose="020B0602020104020603"/>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Droplet">
      <a:fillStyleLst>
        <a:solidFill>
          <a:schemeClr val="phClr"/>
        </a:solidFill>
        <a:solidFill>
          <a:schemeClr val="phClr">
            <a:tint val="69000"/>
            <a:satMod val="105000"/>
            <a:lumMod val="110000"/>
          </a:schemeClr>
        </a:solidFill>
        <a:gradFill rotWithShape="1">
          <a:gsLst>
            <a:gs pos="0">
              <a:schemeClr val="phClr">
                <a:tint val="94000"/>
                <a:satMod val="100000"/>
                <a:lumMod val="108000"/>
              </a:schemeClr>
            </a:gs>
            <a:gs pos="50000">
              <a:schemeClr val="phClr">
                <a:tint val="98000"/>
                <a:shade val="100000"/>
                <a:satMod val="100000"/>
                <a:lumMod val="100000"/>
              </a:schemeClr>
            </a:gs>
            <a:gs pos="100000">
              <a:schemeClr val="phClr">
                <a:shade val="72000"/>
                <a:satMod val="120000"/>
                <a:lumMod val="100000"/>
              </a:schemeClr>
            </a:gs>
          </a:gsLst>
          <a:lin ang="5400000" scaled="0"/>
        </a:gradFill>
      </a:fillStyleLst>
      <a:lnStyleLst>
        <a:ln w="9525" cap="flat" cmpd="sng" algn="ctr">
          <a:solidFill>
            <a:schemeClr val="phClr">
              <a:shade val="60000"/>
            </a:scheme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outerShdw blurRad="50800" dist="25400" dir="5400000" rotWithShape="0">
              <a:srgbClr val="000000">
                <a:alpha val="28000"/>
              </a:srgbClr>
            </a:outerShdw>
          </a:effectLst>
        </a:effectStyle>
        <a:effectStyle>
          <a:effectLst>
            <a:outerShdw blurRad="63500" dist="25400" dir="5400000" algn="ctr" rotWithShape="0">
              <a:srgbClr val="000000">
                <a:alpha val="69000"/>
              </a:srgbClr>
            </a:outerShdw>
          </a:effectLst>
          <a:scene3d>
            <a:camera prst="orthographicFront">
              <a:rot lat="0" lon="0" rev="0"/>
            </a:camera>
            <a:lightRig rig="balanced" dir="t">
              <a:rot lat="0" lon="0" rev="1200000"/>
            </a:lightRig>
          </a:scene3d>
          <a:sp3d prstMaterial="plastic">
            <a:bevelT w="25400" h="25400"/>
          </a:sp3d>
        </a:effectStyle>
      </a:effectStyleLst>
      <a:bgFillStyleLst>
        <a:solidFill>
          <a:schemeClr val="phClr"/>
        </a:solidFill>
        <a:gradFill rotWithShape="1">
          <a:gsLst>
            <a:gs pos="0">
              <a:schemeClr val="phClr">
                <a:tint val="90000"/>
                <a:lumMod val="110000"/>
              </a:schemeClr>
            </a:gs>
            <a:gs pos="100000">
              <a:schemeClr val="phClr">
                <a:shade val="64000"/>
                <a:lumMod val="88000"/>
              </a:schemeClr>
            </a:gs>
          </a:gsLst>
          <a:lin ang="5400000" scaled="0"/>
        </a:gradFill>
        <a:gradFill rotWithShape="1">
          <a:gsLst>
            <a:gs pos="0">
              <a:schemeClr val="phClr">
                <a:tint val="84000"/>
                <a:shade val="100000"/>
                <a:hueMod val="130000"/>
                <a:satMod val="150000"/>
                <a:lumMod val="112000"/>
              </a:schemeClr>
            </a:gs>
            <a:gs pos="100000">
              <a:schemeClr val="phClr">
                <a:shade val="92000"/>
                <a:satMod val="140000"/>
                <a:lumMod val="110000"/>
              </a:schemeClr>
            </a:gs>
          </a:gsLst>
          <a:lin ang="5400000" scaled="0"/>
        </a:gradFill>
      </a:bgFillStyleLst>
    </a:fmtScheme>
  </a:themeElements>
  <a:objectDefaults/>
  <a:extraClrSchemeLst/>
  <a:extLst>
    <a:ext uri="{05A4C25C-085E-4340-85A3-A5531E510DB2}">
      <thm15:themeFamily xmlns:thm15="http://schemas.microsoft.com/office/thememl/2012/main" name="Droplet" id="{8984A317-299A-4E50-B45D-BFC9EDE2337A}" vid="{A633B6A3-9E7F-4C10-9C98-2517A3134361}"/>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8" Type="http://schemas.openxmlformats.org/officeDocument/2006/relationships/table" Target="../tables/table10.xml"/><Relationship Id="rId3" Type="http://schemas.openxmlformats.org/officeDocument/2006/relationships/table" Target="../tables/table5.xml"/><Relationship Id="rId7" Type="http://schemas.openxmlformats.org/officeDocument/2006/relationships/table" Target="../tables/table9.xml"/><Relationship Id="rId2" Type="http://schemas.openxmlformats.org/officeDocument/2006/relationships/vmlDrawing" Target="../drawings/vmlDrawing1.vml"/><Relationship Id="rId1" Type="http://schemas.openxmlformats.org/officeDocument/2006/relationships/drawing" Target="../drawings/drawing5.xml"/><Relationship Id="rId6" Type="http://schemas.openxmlformats.org/officeDocument/2006/relationships/table" Target="../tables/table8.xml"/><Relationship Id="rId5" Type="http://schemas.openxmlformats.org/officeDocument/2006/relationships/table" Target="../tables/table7.xml"/><Relationship Id="rId10" Type="http://schemas.openxmlformats.org/officeDocument/2006/relationships/comments" Target="../comments1.xml"/><Relationship Id="rId4" Type="http://schemas.openxmlformats.org/officeDocument/2006/relationships/table" Target="../tables/table6.xml"/><Relationship Id="rId9" Type="http://schemas.openxmlformats.org/officeDocument/2006/relationships/table" Target="../tables/table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C6328-ACC2-9748-91F1-25886D4EC64B}">
  <dimension ref="A1"/>
  <sheetViews>
    <sheetView showGridLines="0" showRowColHeaders="0" tabSelected="1" workbookViewId="0">
      <selection activeCell="D2" sqref="D2"/>
    </sheetView>
  </sheetViews>
  <sheetFormatPr defaultColWidth="11.5546875" defaultRowHeight="1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F6529-B777-BE4E-B19B-6363690B2607}">
  <dimension ref="B1:M41"/>
  <sheetViews>
    <sheetView showGridLines="0" showRowColHeaders="0" zoomScaleNormal="100" workbookViewId="0">
      <selection activeCell="B5" sqref="B5:E5"/>
    </sheetView>
  </sheetViews>
  <sheetFormatPr defaultColWidth="22.5546875" defaultRowHeight="39.950000000000003" customHeight="1" x14ac:dyDescent="0.2"/>
  <cols>
    <col min="1" max="1" width="1.109375" customWidth="1"/>
    <col min="2" max="2" width="10.6640625" style="23" customWidth="1"/>
    <col min="3" max="3" width="30.6640625" style="23" customWidth="1"/>
    <col min="4" max="4" width="17.109375" style="23" bestFit="1" customWidth="1"/>
    <col min="5" max="5" width="13.5546875" style="23" hidden="1" customWidth="1"/>
    <col min="6" max="6" width="59" style="23" bestFit="1" customWidth="1"/>
  </cols>
  <sheetData>
    <row r="1" spans="2:13" s="2" customFormat="1" ht="15.95" customHeight="1" x14ac:dyDescent="0.2">
      <c r="B1" s="17"/>
      <c r="C1" s="20"/>
      <c r="D1" s="20"/>
      <c r="E1" s="21"/>
      <c r="F1" s="17"/>
      <c r="M1"/>
    </row>
    <row r="2" spans="2:13" s="2" customFormat="1" ht="15.95" customHeight="1" x14ac:dyDescent="0.2">
      <c r="B2" s="17"/>
      <c r="C2" s="20"/>
      <c r="D2" s="20"/>
      <c r="E2" s="17"/>
      <c r="F2" s="17"/>
      <c r="M2"/>
    </row>
    <row r="3" spans="2:13" s="2" customFormat="1" ht="15.95" customHeight="1" x14ac:dyDescent="0.2">
      <c r="B3" s="17"/>
      <c r="C3" s="20"/>
      <c r="D3" s="22"/>
      <c r="E3" s="17"/>
      <c r="F3" s="17"/>
      <c r="M3"/>
    </row>
    <row r="4" spans="2:13" s="2" customFormat="1" ht="21.95" customHeight="1" thickBot="1" x14ac:dyDescent="0.25">
      <c r="B4" s="17"/>
      <c r="C4" s="20"/>
      <c r="D4" s="20"/>
      <c r="E4" s="17"/>
      <c r="F4" s="17"/>
      <c r="M4"/>
    </row>
    <row r="5" spans="2:13" s="8" customFormat="1" ht="39.950000000000003" customHeight="1" thickBot="1" x14ac:dyDescent="0.25">
      <c r="B5" s="69" t="s">
        <v>97</v>
      </c>
      <c r="C5" s="70"/>
      <c r="D5" s="70"/>
      <c r="E5" s="71"/>
      <c r="F5" s="27" t="str">
        <f>IF(B25=0,"",IF(B25&lt;=24,"Low Risk",IF(B25&gt;=24,"Moderate Risk",IF(B25&gt;=49,"High Risk","High Risk"))))</f>
        <v>Moderate Risk</v>
      </c>
      <c r="G5" s="18"/>
      <c r="H5" s="18"/>
      <c r="I5" s="18"/>
      <c r="J5" s="18"/>
      <c r="K5" s="18"/>
      <c r="L5" s="18"/>
      <c r="M5" s="19"/>
    </row>
    <row r="6" spans="2:13" ht="39.950000000000003" customHeight="1" x14ac:dyDescent="0.2">
      <c r="B6" s="17" t="s">
        <v>54</v>
      </c>
      <c r="C6" s="17" t="s">
        <v>21</v>
      </c>
      <c r="D6" s="17" t="s">
        <v>22</v>
      </c>
      <c r="E6" s="26" t="s">
        <v>23</v>
      </c>
      <c r="F6" s="17" t="s">
        <v>24</v>
      </c>
      <c r="H6" s="34"/>
    </row>
    <row r="7" spans="2:13" ht="83.1" customHeight="1" x14ac:dyDescent="0.2">
      <c r="B7" s="17" t="s">
        <v>55</v>
      </c>
      <c r="C7" s="24" t="s">
        <v>73</v>
      </c>
      <c r="D7" s="17" t="s">
        <v>26</v>
      </c>
      <c r="E7" s="57">
        <f>IF(D7="Y",2,0)</f>
        <v>2</v>
      </c>
      <c r="F7" s="24" t="s">
        <v>36</v>
      </c>
      <c r="G7" s="34"/>
    </row>
    <row r="8" spans="2:13" ht="105" x14ac:dyDescent="0.2">
      <c r="B8" s="17" t="s">
        <v>56</v>
      </c>
      <c r="C8" s="24" t="s">
        <v>31</v>
      </c>
      <c r="D8" s="17" t="s">
        <v>26</v>
      </c>
      <c r="E8" s="57">
        <f>IF(D8="Y",1,0)</f>
        <v>1</v>
      </c>
      <c r="F8" s="24" t="s">
        <v>39</v>
      </c>
    </row>
    <row r="9" spans="2:13" ht="75" x14ac:dyDescent="0.2">
      <c r="B9" s="17" t="s">
        <v>57</v>
      </c>
      <c r="C9" s="24" t="s">
        <v>32</v>
      </c>
      <c r="D9" s="17" t="s">
        <v>26</v>
      </c>
      <c r="E9" s="57">
        <f t="shared" ref="E9:E10" si="0">IF(D9="Y",1,0)</f>
        <v>1</v>
      </c>
      <c r="F9" s="24" t="s">
        <v>40</v>
      </c>
    </row>
    <row r="10" spans="2:13" ht="105" x14ac:dyDescent="0.2">
      <c r="B10" s="17" t="s">
        <v>58</v>
      </c>
      <c r="C10" s="24" t="s">
        <v>33</v>
      </c>
      <c r="D10" s="17" t="s">
        <v>26</v>
      </c>
      <c r="E10" s="57">
        <f t="shared" si="0"/>
        <v>1</v>
      </c>
      <c r="F10" s="24" t="s">
        <v>53</v>
      </c>
    </row>
    <row r="11" spans="2:13" ht="83.1" customHeight="1" x14ac:dyDescent="0.2">
      <c r="B11" s="17" t="s">
        <v>59</v>
      </c>
      <c r="C11" s="24" t="s">
        <v>27</v>
      </c>
      <c r="D11" s="17">
        <v>6</v>
      </c>
      <c r="E11" s="57">
        <f>IF(D11&lt;3,0,IF(C11=3,3,IF(C11=4,3,IF(C11=5,3,IF(C11&gt;=6,5)))))</f>
        <v>5</v>
      </c>
      <c r="F11" s="24" t="s">
        <v>41</v>
      </c>
    </row>
    <row r="12" spans="2:13" ht="75" x14ac:dyDescent="0.2">
      <c r="B12" s="17" t="s">
        <v>60</v>
      </c>
      <c r="C12" s="24" t="s">
        <v>28</v>
      </c>
      <c r="D12" s="17" t="s">
        <v>26</v>
      </c>
      <c r="E12" s="57">
        <f>IF(D12="Y",3,0)</f>
        <v>3</v>
      </c>
      <c r="F12" s="24" t="s">
        <v>37</v>
      </c>
    </row>
    <row r="13" spans="2:13" ht="60" x14ac:dyDescent="0.2">
      <c r="B13" s="17" t="s">
        <v>61</v>
      </c>
      <c r="C13" s="24" t="s">
        <v>30</v>
      </c>
      <c r="D13" s="17">
        <v>2001</v>
      </c>
      <c r="E13" s="57">
        <f>IF(AND(D13&gt;=0,D13&lt;=200),0,IF(AND(D13&gt;200,D13&lt;=500),1,IF(AND(D13&gt;500,D13&lt;=2000),3,IF(AND(D13&gt;2000),5))))</f>
        <v>5</v>
      </c>
      <c r="F13" s="24" t="s">
        <v>38</v>
      </c>
    </row>
    <row r="14" spans="2:13" ht="83.1" customHeight="1" x14ac:dyDescent="0.2">
      <c r="B14" s="17" t="s">
        <v>62</v>
      </c>
      <c r="C14" s="24" t="s">
        <v>152</v>
      </c>
      <c r="D14" s="17">
        <v>1</v>
      </c>
      <c r="E14" s="57">
        <f>IF(D$15="",0,D$14/D$15)</f>
        <v>1</v>
      </c>
      <c r="F14" s="24" t="s">
        <v>42</v>
      </c>
    </row>
    <row r="15" spans="2:13" ht="83.1" customHeight="1" x14ac:dyDescent="0.2">
      <c r="B15" s="17" t="s">
        <v>63</v>
      </c>
      <c r="C15" s="24" t="s">
        <v>153</v>
      </c>
      <c r="D15" s="17">
        <v>1</v>
      </c>
      <c r="E15" s="57"/>
      <c r="F15" s="24" t="s">
        <v>42</v>
      </c>
    </row>
    <row r="16" spans="2:13" ht="83.1" customHeight="1" x14ac:dyDescent="0.2">
      <c r="B16" s="17" t="s">
        <v>64</v>
      </c>
      <c r="C16" s="24" t="s">
        <v>150</v>
      </c>
      <c r="D16" s="17">
        <v>1</v>
      </c>
      <c r="E16" s="57">
        <f>IF(D$17="",0,D$17/D$16)</f>
        <v>1</v>
      </c>
      <c r="F16" s="24" t="s">
        <v>43</v>
      </c>
    </row>
    <row r="17" spans="2:7" ht="83.1" customHeight="1" x14ac:dyDescent="0.2">
      <c r="B17" s="17" t="s">
        <v>65</v>
      </c>
      <c r="C17" s="24" t="s">
        <v>151</v>
      </c>
      <c r="D17" s="17">
        <v>1</v>
      </c>
      <c r="E17" s="57"/>
      <c r="F17" s="24" t="s">
        <v>44</v>
      </c>
    </row>
    <row r="18" spans="2:7" ht="75" x14ac:dyDescent="0.2">
      <c r="B18" s="17" t="s">
        <v>66</v>
      </c>
      <c r="C18" s="24" t="s">
        <v>29</v>
      </c>
      <c r="D18" s="17" t="s">
        <v>25</v>
      </c>
      <c r="E18" s="57">
        <f>IF(D18="Y",0,1)</f>
        <v>1</v>
      </c>
      <c r="F18" s="24" t="s">
        <v>45</v>
      </c>
    </row>
    <row r="19" spans="2:7" ht="83.1" customHeight="1" x14ac:dyDescent="0.2">
      <c r="B19" s="17" t="s">
        <v>67</v>
      </c>
      <c r="C19" s="24" t="s">
        <v>149</v>
      </c>
      <c r="D19" s="17" t="s">
        <v>25</v>
      </c>
      <c r="E19" s="57">
        <f>IF(D19="Y",0,5)</f>
        <v>5</v>
      </c>
      <c r="F19" s="24" t="s">
        <v>47</v>
      </c>
    </row>
    <row r="20" spans="2:7" ht="120" x14ac:dyDescent="0.2">
      <c r="B20" s="17" t="s">
        <v>68</v>
      </c>
      <c r="C20" s="24" t="s">
        <v>74</v>
      </c>
      <c r="D20" s="17" t="s">
        <v>25</v>
      </c>
      <c r="E20" s="57">
        <f>IF(D20="Y",0,5)</f>
        <v>5</v>
      </c>
      <c r="F20" s="24" t="s">
        <v>46</v>
      </c>
    </row>
    <row r="21" spans="2:7" ht="120" x14ac:dyDescent="0.2">
      <c r="B21" s="17" t="s">
        <v>69</v>
      </c>
      <c r="C21" s="24" t="s">
        <v>75</v>
      </c>
      <c r="D21" s="17" t="s">
        <v>26</v>
      </c>
      <c r="E21" s="57">
        <f>IF(D21="Y",2,0)</f>
        <v>2</v>
      </c>
      <c r="F21" s="24" t="s">
        <v>48</v>
      </c>
    </row>
    <row r="22" spans="2:7" ht="90" x14ac:dyDescent="0.2">
      <c r="B22" s="17" t="s">
        <v>70</v>
      </c>
      <c r="C22" s="24" t="s">
        <v>49</v>
      </c>
      <c r="D22" s="17" t="s">
        <v>34</v>
      </c>
      <c r="E22" s="57">
        <f>IF(D22="L",1,IF(D22="M",2,3))</f>
        <v>3</v>
      </c>
      <c r="F22" s="24" t="s">
        <v>50</v>
      </c>
    </row>
    <row r="23" spans="2:7" ht="150" x14ac:dyDescent="0.2">
      <c r="B23" s="17" t="s">
        <v>71</v>
      </c>
      <c r="C23" s="24" t="s">
        <v>76</v>
      </c>
      <c r="D23" s="17" t="s">
        <v>25</v>
      </c>
      <c r="E23" s="57">
        <f>IF(D23="Y",0,3)</f>
        <v>3</v>
      </c>
      <c r="F23" s="24" t="s">
        <v>51</v>
      </c>
    </row>
    <row r="24" spans="2:7" ht="90" x14ac:dyDescent="0.2">
      <c r="B24" s="17" t="s">
        <v>72</v>
      </c>
      <c r="C24" s="24" t="s">
        <v>35</v>
      </c>
      <c r="D24" s="17" t="s">
        <v>34</v>
      </c>
      <c r="E24" s="57">
        <f>IF(D24="L",1,IF(D24="M",2,3))</f>
        <v>3</v>
      </c>
      <c r="F24" s="24" t="s">
        <v>52</v>
      </c>
    </row>
    <row r="25" spans="2:7" ht="39.950000000000003" hidden="1" customHeight="1" thickBot="1" x14ac:dyDescent="0.25">
      <c r="B25" s="75">
        <f>SUM(tbl_ed[EDF Score])</f>
        <v>42</v>
      </c>
      <c r="C25" s="76"/>
      <c r="D25" s="76"/>
      <c r="E25" s="76"/>
      <c r="F25" s="77"/>
      <c r="G25" s="34"/>
    </row>
    <row r="26" spans="2:7" ht="39.950000000000003" customHeight="1" thickBot="1" x14ac:dyDescent="0.25">
      <c r="B26" s="74"/>
      <c r="C26" s="74"/>
      <c r="D26" s="74"/>
      <c r="E26" s="74"/>
      <c r="F26" s="74"/>
    </row>
    <row r="27" spans="2:7" ht="39.950000000000003" customHeight="1" x14ac:dyDescent="0.2">
      <c r="B27" s="72" t="s">
        <v>98</v>
      </c>
      <c r="C27" s="73"/>
      <c r="D27" s="73"/>
      <c r="E27" s="73"/>
      <c r="F27" s="28" t="str">
        <f>IF(B25=0,"",IF(B25&lt;=24,"Low Risk",IF(B25&gt;=24,"Moderate Risk",IF(B25&gt;=49,"High Risk","High Risk"))))</f>
        <v>Moderate Risk</v>
      </c>
    </row>
    <row r="28" spans="2:7" ht="39.950000000000003" customHeight="1" x14ac:dyDescent="0.2">
      <c r="B28" s="17" t="s">
        <v>99</v>
      </c>
      <c r="C28" s="17" t="s">
        <v>100</v>
      </c>
      <c r="D28" s="17" t="s">
        <v>101</v>
      </c>
      <c r="E28" s="17" t="s">
        <v>23</v>
      </c>
      <c r="F28" s="17" t="s">
        <v>102</v>
      </c>
      <c r="G28" s="30"/>
    </row>
    <row r="29" spans="2:7" ht="39.950000000000003" customHeight="1" x14ac:dyDescent="0.2">
      <c r="B29" s="17" t="s">
        <v>113</v>
      </c>
      <c r="C29" s="24" t="s">
        <v>125</v>
      </c>
      <c r="D29" s="29" t="s">
        <v>26</v>
      </c>
      <c r="E29" s="58">
        <f>IF(D29="Y",5,0)</f>
        <v>5</v>
      </c>
      <c r="F29" s="24" t="s">
        <v>136</v>
      </c>
    </row>
    <row r="30" spans="2:7" ht="45" x14ac:dyDescent="0.2">
      <c r="B30" s="17" t="s">
        <v>114</v>
      </c>
      <c r="C30" s="24" t="s">
        <v>126</v>
      </c>
      <c r="D30" s="29" t="s">
        <v>26</v>
      </c>
      <c r="E30" s="58">
        <f>IF(D30="Y",3,0)</f>
        <v>3</v>
      </c>
      <c r="F30" s="24" t="s">
        <v>137</v>
      </c>
    </row>
    <row r="31" spans="2:7" ht="45" x14ac:dyDescent="0.2">
      <c r="B31" s="17" t="s">
        <v>115</v>
      </c>
      <c r="C31" s="24" t="s">
        <v>127</v>
      </c>
      <c r="D31" s="29">
        <v>33</v>
      </c>
      <c r="E31" s="58">
        <f>IF(D31&lt;3,0,IF(D31=3,3,IF(D31=4,3,IF(D31=5,3,IF(D31&gt;=6,5)))))</f>
        <v>5</v>
      </c>
      <c r="F31" s="24" t="s">
        <v>138</v>
      </c>
    </row>
    <row r="32" spans="2:7" ht="60" x14ac:dyDescent="0.2">
      <c r="B32" s="17" t="s">
        <v>116</v>
      </c>
      <c r="C32" s="24" t="s">
        <v>128</v>
      </c>
      <c r="D32" s="29" t="s">
        <v>26</v>
      </c>
      <c r="E32" s="58">
        <f>IF(D32="Y",2,0)</f>
        <v>2</v>
      </c>
      <c r="F32" s="24" t="s">
        <v>139</v>
      </c>
    </row>
    <row r="33" spans="2:6" ht="75" x14ac:dyDescent="0.2">
      <c r="B33" s="17" t="s">
        <v>117</v>
      </c>
      <c r="C33" s="24" t="s">
        <v>129</v>
      </c>
      <c r="D33" s="29" t="s">
        <v>26</v>
      </c>
      <c r="E33" s="58">
        <f>IF(D33="Y",5,0)</f>
        <v>5</v>
      </c>
      <c r="F33" s="24" t="s">
        <v>140</v>
      </c>
    </row>
    <row r="34" spans="2:6" ht="60" x14ac:dyDescent="0.2">
      <c r="B34" s="17" t="s">
        <v>118</v>
      </c>
      <c r="C34" s="24" t="s">
        <v>130</v>
      </c>
      <c r="D34" s="29" t="s">
        <v>25</v>
      </c>
      <c r="E34" s="58">
        <f>IF(D34="Y",0,5)</f>
        <v>5</v>
      </c>
      <c r="F34" s="24" t="s">
        <v>141</v>
      </c>
    </row>
    <row r="35" spans="2:6" ht="75" x14ac:dyDescent="0.2">
      <c r="B35" s="17" t="s">
        <v>119</v>
      </c>
      <c r="C35" s="24" t="s">
        <v>131</v>
      </c>
      <c r="D35" s="29">
        <v>5</v>
      </c>
      <c r="E35" s="58">
        <f>IF(D35&lt;3,1,3)</f>
        <v>3</v>
      </c>
      <c r="F35" s="24" t="s">
        <v>142</v>
      </c>
    </row>
    <row r="36" spans="2:6" ht="75" x14ac:dyDescent="0.2">
      <c r="B36" s="17" t="s">
        <v>120</v>
      </c>
      <c r="C36" s="24" t="s">
        <v>132</v>
      </c>
      <c r="D36" s="29" t="s">
        <v>26</v>
      </c>
      <c r="E36" s="58">
        <f>IF(D36="Y",2,0)</f>
        <v>2</v>
      </c>
      <c r="F36" s="24" t="s">
        <v>142</v>
      </c>
    </row>
    <row r="37" spans="2:6" ht="105" x14ac:dyDescent="0.2">
      <c r="B37" s="17" t="s">
        <v>121</v>
      </c>
      <c r="C37" s="24" t="s">
        <v>148</v>
      </c>
      <c r="D37" s="32">
        <v>5</v>
      </c>
      <c r="E37" s="58">
        <f>IF(D37=1,5,IF(D37=2,4,IF(D37=3,3,IF(D37=4,2,IF(D37&gt;=5,1)))))</f>
        <v>1</v>
      </c>
      <c r="F37" s="24" t="s">
        <v>143</v>
      </c>
    </row>
    <row r="38" spans="2:6" ht="150" x14ac:dyDescent="0.2">
      <c r="B38" s="17" t="s">
        <v>122</v>
      </c>
      <c r="C38" s="24" t="s">
        <v>133</v>
      </c>
      <c r="D38" s="31" t="s">
        <v>25</v>
      </c>
      <c r="E38" s="58">
        <f>IF(D38="Y",0,3)</f>
        <v>3</v>
      </c>
      <c r="F38" s="24" t="s">
        <v>144</v>
      </c>
    </row>
    <row r="39" spans="2:6" ht="45" x14ac:dyDescent="0.2">
      <c r="B39" s="17" t="s">
        <v>123</v>
      </c>
      <c r="C39" s="24" t="s">
        <v>134</v>
      </c>
      <c r="D39" s="31" t="s">
        <v>146</v>
      </c>
      <c r="E39" s="58">
        <f>IF(D39="H",0,IF(D39="M",3,4))</f>
        <v>4</v>
      </c>
      <c r="F39" s="24" t="s">
        <v>145</v>
      </c>
    </row>
    <row r="40" spans="2:6" ht="90" x14ac:dyDescent="0.2">
      <c r="B40" s="17" t="s">
        <v>124</v>
      </c>
      <c r="C40" s="24" t="s">
        <v>135</v>
      </c>
      <c r="D40" s="31" t="s">
        <v>25</v>
      </c>
      <c r="E40" s="58">
        <f>IF(D40="Y",0,5)</f>
        <v>5</v>
      </c>
      <c r="F40" s="24" t="s">
        <v>147</v>
      </c>
    </row>
    <row r="41" spans="2:6" ht="39.950000000000003" hidden="1" customHeight="1" thickBot="1" x14ac:dyDescent="0.25">
      <c r="B41" s="66"/>
      <c r="C41" s="67"/>
      <c r="D41" s="67"/>
      <c r="E41" s="67"/>
      <c r="F41" s="68"/>
    </row>
  </sheetData>
  <mergeCells count="5">
    <mergeCell ref="B41:F41"/>
    <mergeCell ref="B5:E5"/>
    <mergeCell ref="B27:E27"/>
    <mergeCell ref="B26:F26"/>
    <mergeCell ref="B25:F25"/>
  </mergeCells>
  <phoneticPr fontId="1" type="noConversion"/>
  <conditionalFormatting sqref="F5">
    <cfRule type="containsText" dxfId="107" priority="10" operator="containsText" text="Low Risk">
      <formula>NOT(ISERROR(SEARCH("Low Risk",F5)))</formula>
    </cfRule>
    <cfRule type="containsText" dxfId="106" priority="11" operator="containsText" text="Moderate Risk">
      <formula>NOT(ISERROR(SEARCH("Moderate Risk",F5)))</formula>
    </cfRule>
    <cfRule type="containsText" dxfId="105" priority="12" operator="containsText" text="High Risk">
      <formula>NOT(ISERROR(SEARCH("High Risk",F5)))</formula>
    </cfRule>
  </conditionalFormatting>
  <conditionalFormatting sqref="F27">
    <cfRule type="containsText" dxfId="104" priority="7" operator="containsText" text="Low Risk">
      <formula>NOT(ISERROR(SEARCH("Low Risk",F27)))</formula>
    </cfRule>
    <cfRule type="containsText" dxfId="103" priority="8" operator="containsText" text="Moderate Risk">
      <formula>NOT(ISERROR(SEARCH("Moderate Risk",F27)))</formula>
    </cfRule>
    <cfRule type="containsText" dxfId="102" priority="9" operator="containsText" text="High Risk">
      <formula>NOT(ISERROR(SEARCH("High Risk",F27)))</formula>
    </cfRule>
  </conditionalFormatting>
  <dataValidations count="3">
    <dataValidation type="list" allowBlank="1" showInputMessage="1" showErrorMessage="1" sqref="D12 D7:D10 D18:D21 D23 D29:D30 D32:D34 D36 D38 D40" xr:uid="{B1C7F9E7-654F-FA4D-990F-242FA8C57D81}">
      <formula1>"Y,N"</formula1>
    </dataValidation>
    <dataValidation type="list" allowBlank="1" showInputMessage="1" showErrorMessage="1" sqref="D22 D24 D39" xr:uid="{900A42F5-5EBF-2D48-BFE4-07BDCEDFECC6}">
      <formula1>"L,M,H"</formula1>
    </dataValidation>
    <dataValidation type="list" allowBlank="1" showInputMessage="1" showErrorMessage="1" sqref="D37" xr:uid="{8E3C2E05-70BB-0748-8886-A7C057A67995}">
      <formula1>"1,2,3,4,5"</formula1>
    </dataValidation>
  </dataValidations>
  <pageMargins left="0.7" right="0.7" top="0.75" bottom="0.75" header="0.3" footer="0.3"/>
  <pageSetup orientation="portrait" horizontalDpi="0" verticalDpi="0"/>
  <ignoredErrors>
    <ignoredError sqref="E23 E39" formula="1"/>
    <ignoredError sqref="E16" evalError="1"/>
  </ignoredErrors>
  <drawing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E7751-A75E-6B4F-9CC3-245A0AEE0B5F}">
  <dimension ref="A1:R38"/>
  <sheetViews>
    <sheetView showGridLines="0" showRowColHeaders="0" zoomScaleNormal="100" workbookViewId="0">
      <pane xSplit="2" ySplit="6" topLeftCell="C7" activePane="bottomRight" state="frozen"/>
      <selection pane="topRight" activeCell="C1" sqref="C1"/>
      <selection pane="bottomLeft" activeCell="A7" sqref="A7"/>
      <selection pane="bottomRight" activeCell="B5" sqref="B5:R5"/>
    </sheetView>
  </sheetViews>
  <sheetFormatPr defaultColWidth="10.6640625" defaultRowHeight="35.1" customHeight="1" x14ac:dyDescent="0.2"/>
  <cols>
    <col min="1" max="1" width="1.109375" style="2" customWidth="1"/>
    <col min="2" max="2" width="10.6640625" style="1" customWidth="1"/>
    <col min="3" max="4" width="20.6640625" style="3" customWidth="1"/>
    <col min="5" max="5" width="20.6640625" style="1" customWidth="1"/>
    <col min="6" max="6" width="20.6640625" style="1" hidden="1" customWidth="1"/>
    <col min="7" max="7" width="20.6640625" style="3" customWidth="1"/>
    <col min="8" max="8" width="20.6640625" style="1" customWidth="1"/>
    <col min="9" max="9" width="20.6640625" style="3" customWidth="1"/>
    <col min="10" max="10" width="20.6640625" customWidth="1"/>
    <col min="11" max="13" width="20.6640625" style="1" customWidth="1"/>
    <col min="14" max="14" width="22.33203125" style="1" bestFit="1" customWidth="1"/>
    <col min="15" max="15" width="22" style="1" bestFit="1" customWidth="1"/>
    <col min="16" max="16" width="29.44140625" style="1" hidden="1" customWidth="1"/>
    <col min="17" max="17" width="22" style="1" hidden="1" customWidth="1"/>
    <col min="18" max="18" width="23.88671875" bestFit="1" customWidth="1"/>
    <col min="19" max="19" width="14.88671875" style="1" bestFit="1" customWidth="1"/>
    <col min="20" max="20" width="13.33203125" style="1" bestFit="1" customWidth="1"/>
    <col min="21" max="21" width="14.109375" style="1" bestFit="1" customWidth="1"/>
    <col min="22" max="23" width="14.88671875" style="1" bestFit="1" customWidth="1"/>
    <col min="24" max="24" width="13" style="1" bestFit="1" customWidth="1"/>
    <col min="25" max="16384" width="10.6640625" style="1"/>
  </cols>
  <sheetData>
    <row r="1" spans="2:18" ht="15" x14ac:dyDescent="0.2">
      <c r="E1" s="16"/>
    </row>
    <row r="2" spans="2:18" ht="15" x14ac:dyDescent="0.2"/>
    <row r="3" spans="2:18" ht="15" x14ac:dyDescent="0.2">
      <c r="D3" s="15"/>
    </row>
    <row r="4" spans="2:18" ht="24" customHeight="1" thickBot="1" x14ac:dyDescent="0.25"/>
    <row r="5" spans="2:18" ht="50.1" customHeight="1" thickBot="1" x14ac:dyDescent="0.25">
      <c r="B5" s="78" t="s">
        <v>14</v>
      </c>
      <c r="C5" s="79"/>
      <c r="D5" s="79"/>
      <c r="E5" s="79"/>
      <c r="F5" s="79"/>
      <c r="G5" s="79"/>
      <c r="H5" s="79"/>
      <c r="I5" s="79"/>
      <c r="J5" s="79"/>
      <c r="K5" s="79"/>
      <c r="L5" s="79"/>
      <c r="M5" s="79"/>
      <c r="N5" s="79"/>
      <c r="O5" s="79"/>
      <c r="P5" s="79"/>
      <c r="Q5" s="79"/>
      <c r="R5" s="80"/>
    </row>
    <row r="6" spans="2:18" ht="65.099999999999994" customHeight="1" x14ac:dyDescent="0.2">
      <c r="B6" s="1" t="s">
        <v>0</v>
      </c>
      <c r="C6" s="2" t="s">
        <v>9</v>
      </c>
      <c r="D6" s="2" t="s">
        <v>13</v>
      </c>
      <c r="E6" s="1" t="s">
        <v>111</v>
      </c>
      <c r="F6" s="5" t="s">
        <v>1</v>
      </c>
      <c r="G6" s="8" t="s">
        <v>2</v>
      </c>
      <c r="H6" s="2" t="s">
        <v>15</v>
      </c>
      <c r="I6" s="2" t="s">
        <v>16</v>
      </c>
      <c r="J6" s="2" t="s">
        <v>17</v>
      </c>
      <c r="K6" s="8" t="s">
        <v>11</v>
      </c>
      <c r="L6" s="2" t="s">
        <v>3</v>
      </c>
      <c r="M6" s="2" t="s">
        <v>18</v>
      </c>
      <c r="N6" s="2" t="s">
        <v>19</v>
      </c>
      <c r="O6" s="2" t="s">
        <v>20</v>
      </c>
      <c r="P6" s="12" t="s">
        <v>7</v>
      </c>
      <c r="Q6" s="12" t="s">
        <v>8</v>
      </c>
      <c r="R6" s="8" t="s">
        <v>112</v>
      </c>
    </row>
    <row r="7" spans="2:18" ht="105" x14ac:dyDescent="0.2">
      <c r="B7" s="1" t="s">
        <v>77</v>
      </c>
      <c r="C7" s="3" t="s">
        <v>4</v>
      </c>
      <c r="D7" s="3" t="s">
        <v>12</v>
      </c>
      <c r="E7" s="4">
        <v>0.8</v>
      </c>
      <c r="F7" s="4">
        <f>IF(tbl_threat_analysis[[#This Row],[Degree of Belief the Threat is True Given Initial Evidence]]=0,"",100%-tbl_threat_analysis[[#This Row],[Degree of Belief the Threat is True Given Initial Evidence]])</f>
        <v>0.19999999999999996</v>
      </c>
      <c r="G7" s="10" t="s">
        <v>107</v>
      </c>
      <c r="H7" s="3" t="s">
        <v>10</v>
      </c>
      <c r="I7" s="9" t="str">
        <f>IF(tbl_threat_analysis[[#This Row],[Degree of Belief the Threat is True Given Initial Evidence]]=0,"","Because "&amp;tbl_threat_analysis[[#This Row],[Evidence for First Conditional Outcome]]&amp;" "&amp;tbl_threat_analysis[[#This Row],[First Conditional Outcome]]&amp;" given "&amp;tbl_threat_analysis[[#This Row],[Threat]])</f>
        <v>Because we missed payments to client our client withdraws support for our project given client did not receive a refund for extra services rendered</v>
      </c>
      <c r="J7" s="4">
        <v>0.35</v>
      </c>
      <c r="K7" s="13">
        <f>IF(tbl_threat_analysis[[#This Row],[Degree of Belief the Threat is True Given Initial Evidence]]=0,"",tbl_threat_analysis[[#This Row],[Joint Belief Given Threat Event AND First Conditional Outcome]]/SUM(tbl_threat_analysis[[#This Row],[Joint Belief Given Threat Event AND First Conditional Outcome]:[Joint Belief Given Threat Event AND Second Conditional Outcome]]))</f>
        <v>0.62222222222222223</v>
      </c>
      <c r="L7" s="11" t="s">
        <v>5</v>
      </c>
      <c r="M7" s="11" t="s">
        <v>6</v>
      </c>
      <c r="N7" s="9" t="str">
        <f>IF(tbl_threat_analysis[[#This Row],[Degree of Belief the Threat is True Given Initial Evidence]]=0,"","Because "&amp;tbl_threat_analysis[[#This Row],[Evidence for Second Conditional Outcome]]&amp;" "&amp;tbl_threat_analysis[[#This Row],[Second Conditional Outcome]]&amp;" given "&amp;tbl_threat_analysis[[#This Row],[Threat]])</f>
        <v>Because our teams have a strong working relationship client does not withdraw their support for our project given client did not receive a refund for extra services rendered</v>
      </c>
      <c r="O7" s="4">
        <v>0.85</v>
      </c>
      <c r="P7" s="59">
        <f>IF(tbl_threat_analysis[[#This Row],[Degree of Belief the Threat is True Given Initial Evidence]]=0,"",tbl_threat_analysis[[#This Row],[Degree of Belief the Threat is True Given Initial Evidence]]*tbl_threat_analysis[[#This Row],[Degree of Belief of First Conditional Outcome Given Its Evidence]])</f>
        <v>0.27999999999999997</v>
      </c>
      <c r="Q7" s="59">
        <f>IF(tbl_threat_analysis[[#This Row],[Degree of Belief the Threat is True Given Initial Evidence]]=0,"",tbl_threat_analysis[[#This Row],[Inverse of Belief the Threat Event is True Given Condition]]*tbl_threat_analysis[[#This Row],[Degree of Belief of Second Conditional Outcome Given Its Evidence]])</f>
        <v>0.16999999999999996</v>
      </c>
      <c r="R7" s="13">
        <f>IF(tbl_threat_analysis[[#This Row],[Degree of Belief the Threat is True Given Initial Evidence]]=0,"",tbl_threat_analysis[[#This Row],[Joint Belief Given Threat Event AND Second Conditional Outcome]]/SUM(tbl_threat_analysis[[#This Row],[Joint Belief Given Threat Event AND First Conditional Outcome]:[Joint Belief Given Threat Event AND Second Conditional Outcome]]))</f>
        <v>0.37777777777777771</v>
      </c>
    </row>
    <row r="8" spans="2:18" ht="90" x14ac:dyDescent="0.2">
      <c r="B8" s="2" t="s">
        <v>78</v>
      </c>
      <c r="C8" s="3" t="s">
        <v>110</v>
      </c>
      <c r="D8" s="3" t="s">
        <v>104</v>
      </c>
      <c r="E8" s="4">
        <v>0.1</v>
      </c>
      <c r="F8" s="4">
        <f>IF(tbl_threat_analysis[[#This Row],[Degree of Belief the Threat is True Given Initial Evidence]]=0,"",100%-tbl_threat_analysis[[#This Row],[Degree of Belief the Threat is True Given Initial Evidence]])</f>
        <v>0.9</v>
      </c>
      <c r="G8" s="11" t="s">
        <v>105</v>
      </c>
      <c r="H8" s="11" t="s">
        <v>106</v>
      </c>
      <c r="I8" s="3" t="str">
        <f>IF(tbl_threat_analysis[[#This Row],[Degree of Belief the Threat is True Given Initial Evidence]]=0,"","Because "&amp;tbl_threat_analysis[[#This Row],[Evidence for First Conditional Outcome]]&amp;" "&amp;tbl_threat_analysis[[#This Row],[First Conditional Outcome]]&amp;" given "&amp;tbl_threat_analysis[[#This Row],[Threat]])</f>
        <v>Because this is the evidence for the first conditional outcome this is the first conditional outcome given the threat</v>
      </c>
      <c r="J8" s="4">
        <v>0.2</v>
      </c>
      <c r="K8" s="13">
        <f>IF(tbl_threat_analysis[[#This Row],[Degree of Belief the Threat is True Given Initial Evidence]]=0,"",tbl_threat_analysis[[#This Row],[Joint Belief Given Threat Event AND First Conditional Outcome]]/SUM(tbl_threat_analysis[[#This Row],[Joint Belief Given Threat Event AND First Conditional Outcome]:[Joint Belief Given Threat Event AND Second Conditional Outcome]]))</f>
        <v>6.8965517241379309E-2</v>
      </c>
      <c r="L8" s="11" t="s">
        <v>108</v>
      </c>
      <c r="M8" s="11" t="s">
        <v>109</v>
      </c>
      <c r="N8" s="7" t="str">
        <f>IF(tbl_threat_analysis[[#This Row],[Degree of Belief the Threat is True Given Initial Evidence]]=0,"","Because "&amp;tbl_threat_analysis[[#This Row],[Evidence for Second Conditional Outcome]]&amp;" "&amp;tbl_threat_analysis[[#This Row],[Second Conditional Outcome]]&amp;" given "&amp;tbl_threat_analysis[[#This Row],[Threat]])</f>
        <v>Because this is the evidence for the second conditional outcome this is the second conditional outcome given the threat</v>
      </c>
      <c r="O8" s="4">
        <v>0.3</v>
      </c>
      <c r="P8" s="60">
        <f>IF(tbl_threat_analysis[[#This Row],[Degree of Belief the Threat is True Given Initial Evidence]]=0,"",tbl_threat_analysis[[#This Row],[Degree of Belief the Threat is True Given Initial Evidence]]*tbl_threat_analysis[[#This Row],[Degree of Belief of First Conditional Outcome Given Its Evidence]])</f>
        <v>2.0000000000000004E-2</v>
      </c>
      <c r="Q8" s="60">
        <f>IF(tbl_threat_analysis[[#This Row],[Degree of Belief the Threat is True Given Initial Evidence]]=0,"",tbl_threat_analysis[[#This Row],[Inverse of Belief the Threat Event is True Given Condition]]*tbl_threat_analysis[[#This Row],[Degree of Belief of Second Conditional Outcome Given Its Evidence]])</f>
        <v>0.27</v>
      </c>
      <c r="R8" s="13">
        <f>IF(tbl_threat_analysis[[#This Row],[Degree of Belief the Threat is True Given Initial Evidence]]=0,"",tbl_threat_analysis[[#This Row],[Joint Belief Given Threat Event AND Second Conditional Outcome]]/SUM(tbl_threat_analysis[[#This Row],[Joint Belief Given Threat Event AND First Conditional Outcome]:[Joint Belief Given Threat Event AND Second Conditional Outcome]]))</f>
        <v>0.93103448275862066</v>
      </c>
    </row>
    <row r="9" spans="2:18" ht="35.1" customHeight="1" x14ac:dyDescent="0.2">
      <c r="B9" s="2" t="s">
        <v>79</v>
      </c>
      <c r="E9" s="4"/>
      <c r="F9" s="4" t="str">
        <f>IF(tbl_threat_analysis[[#This Row],[Degree of Belief the Threat is True Given Initial Evidence]]=0,"",100%-tbl_threat_analysis[[#This Row],[Degree of Belief the Threat is True Given Initial Evidence]])</f>
        <v/>
      </c>
      <c r="G9" s="11"/>
      <c r="H9" s="7"/>
      <c r="I9" s="3" t="str">
        <f>IF(tbl_threat_analysis[[#This Row],[Degree of Belief the Threat is True Given Initial Evidence]]=0,"","Because "&amp;tbl_threat_analysis[[#This Row],[Evidence for First Conditional Outcome]]&amp;" "&amp;tbl_threat_analysis[[#This Row],[First Conditional Outcome]]&amp;" given "&amp;tbl_threat_analysis[[#This Row],[Threat]])</f>
        <v/>
      </c>
      <c r="J9" s="4"/>
      <c r="K9" s="13" t="str">
        <f>IF(tbl_threat_analysis[[#This Row],[Degree of Belief the Threat is True Given Initial Evidence]]=0,"",tbl_threat_analysis[[#This Row],[Joint Belief Given Threat Event AND First Conditional Outcome]]/SUM(tbl_threat_analysis[[#This Row],[Joint Belief Given Threat Event AND First Conditional Outcome]:[Joint Belief Given Threat Event AND Second Conditional Outcome]]))</f>
        <v/>
      </c>
      <c r="L9" s="11"/>
      <c r="M9" s="11"/>
      <c r="N9" s="7" t="str">
        <f>IF(tbl_threat_analysis[[#This Row],[Degree of Belief the Threat is True Given Initial Evidence]]=0,"","Because "&amp;tbl_threat_analysis[[#This Row],[Evidence for Second Conditional Outcome]]&amp;" "&amp;tbl_threat_analysis[[#This Row],[Second Conditional Outcome]]&amp;" given "&amp;tbl_threat_analysis[[#This Row],[Threat]])</f>
        <v/>
      </c>
      <c r="O9" s="4"/>
      <c r="P9" s="60" t="str">
        <f>IF(tbl_threat_analysis[[#This Row],[Degree of Belief the Threat is True Given Initial Evidence]]=0,"",tbl_threat_analysis[[#This Row],[Degree of Belief the Threat is True Given Initial Evidence]]*tbl_threat_analysis[[#This Row],[Degree of Belief of First Conditional Outcome Given Its Evidence]])</f>
        <v/>
      </c>
      <c r="Q9" s="60" t="str">
        <f>IF(tbl_threat_analysis[[#This Row],[Degree of Belief the Threat is True Given Initial Evidence]]=0,"",tbl_threat_analysis[[#This Row],[Inverse of Belief the Threat Event is True Given Condition]]*tbl_threat_analysis[[#This Row],[Degree of Belief of Second Conditional Outcome Given Its Evidence]])</f>
        <v/>
      </c>
      <c r="R9" s="13" t="str">
        <f>IF(tbl_threat_analysis[[#This Row],[Degree of Belief the Threat is True Given Initial Evidence]]=0,"",tbl_threat_analysis[[#This Row],[Joint Belief Given Threat Event AND Second Conditional Outcome]]/SUM(tbl_threat_analysis[[#This Row],[Joint Belief Given Threat Event AND First Conditional Outcome]:[Joint Belief Given Threat Event AND Second Conditional Outcome]]))</f>
        <v/>
      </c>
    </row>
    <row r="10" spans="2:18" ht="35.1" customHeight="1" x14ac:dyDescent="0.2">
      <c r="B10" s="2" t="s">
        <v>80</v>
      </c>
      <c r="E10" s="4"/>
      <c r="F10" s="4" t="str">
        <f>IF(tbl_threat_analysis[[#This Row],[Degree of Belief the Threat is True Given Initial Evidence]]=0,"",100%-tbl_threat_analysis[[#This Row],[Degree of Belief the Threat is True Given Initial Evidence]])</f>
        <v/>
      </c>
      <c r="G10" s="11"/>
      <c r="H10" s="3"/>
      <c r="I10" s="3" t="str">
        <f>IF(tbl_threat_analysis[[#This Row],[Degree of Belief the Threat is True Given Initial Evidence]]=0,"","Because "&amp;tbl_threat_analysis[[#This Row],[Evidence for First Conditional Outcome]]&amp;" "&amp;tbl_threat_analysis[[#This Row],[First Conditional Outcome]]&amp;" given "&amp;tbl_threat_analysis[[#This Row],[Threat]])</f>
        <v/>
      </c>
      <c r="J10" s="4"/>
      <c r="K10" s="13" t="str">
        <f>IF(tbl_threat_analysis[[#This Row],[Degree of Belief the Threat is True Given Initial Evidence]]=0,"",tbl_threat_analysis[[#This Row],[Joint Belief Given Threat Event AND First Conditional Outcome]]/SUM(tbl_threat_analysis[[#This Row],[Joint Belief Given Threat Event AND First Conditional Outcome]:[Joint Belief Given Threat Event AND Second Conditional Outcome]]))</f>
        <v/>
      </c>
      <c r="L10" s="11"/>
      <c r="M10" s="11"/>
      <c r="N10" s="7" t="str">
        <f>IF(tbl_threat_analysis[[#This Row],[Degree of Belief the Threat is True Given Initial Evidence]]=0,"","Because "&amp;tbl_threat_analysis[[#This Row],[Evidence for Second Conditional Outcome]]&amp;" "&amp;tbl_threat_analysis[[#This Row],[Second Conditional Outcome]]&amp;" given "&amp;tbl_threat_analysis[[#This Row],[Threat]])</f>
        <v/>
      </c>
      <c r="O10" s="4"/>
      <c r="P10" s="59" t="str">
        <f>IF(tbl_threat_analysis[[#This Row],[Degree of Belief the Threat is True Given Initial Evidence]]=0,"",tbl_threat_analysis[[#This Row],[Degree of Belief the Threat is True Given Initial Evidence]]*tbl_threat_analysis[[#This Row],[Degree of Belief of First Conditional Outcome Given Its Evidence]])</f>
        <v/>
      </c>
      <c r="Q10" s="59" t="str">
        <f>IF(tbl_threat_analysis[[#This Row],[Degree of Belief the Threat is True Given Initial Evidence]]=0,"",tbl_threat_analysis[[#This Row],[Inverse of Belief the Threat Event is True Given Condition]]*tbl_threat_analysis[[#This Row],[Degree of Belief of Second Conditional Outcome Given Its Evidence]])</f>
        <v/>
      </c>
      <c r="R10" s="13" t="str">
        <f>IF(tbl_threat_analysis[[#This Row],[Degree of Belief the Threat is True Given Initial Evidence]]=0,"",tbl_threat_analysis[[#This Row],[Joint Belief Given Threat Event AND Second Conditional Outcome]]/SUM(tbl_threat_analysis[[#This Row],[Joint Belief Given Threat Event AND First Conditional Outcome]:[Joint Belief Given Threat Event AND Second Conditional Outcome]]))</f>
        <v/>
      </c>
    </row>
    <row r="11" spans="2:18" ht="35.1" customHeight="1" x14ac:dyDescent="0.2">
      <c r="B11" s="2" t="s">
        <v>81</v>
      </c>
      <c r="E11" s="4"/>
      <c r="F11" s="4" t="str">
        <f>IF(tbl_threat_analysis[[#This Row],[Degree of Belief the Threat is True Given Initial Evidence]]=0,"",100%-tbl_threat_analysis[[#This Row],[Degree of Belief the Threat is True Given Initial Evidence]])</f>
        <v/>
      </c>
      <c r="G11" s="11"/>
      <c r="H11" s="3"/>
      <c r="I11" s="3" t="str">
        <f>IF(tbl_threat_analysis[[#This Row],[Degree of Belief the Threat is True Given Initial Evidence]]=0,"","Because "&amp;tbl_threat_analysis[[#This Row],[Evidence for First Conditional Outcome]]&amp;" "&amp;tbl_threat_analysis[[#This Row],[First Conditional Outcome]]&amp;" given "&amp;tbl_threat_analysis[[#This Row],[Threat]])</f>
        <v/>
      </c>
      <c r="J11" s="4"/>
      <c r="K11" s="13" t="str">
        <f>IF(tbl_threat_analysis[[#This Row],[Degree of Belief the Threat is True Given Initial Evidence]]=0,"",tbl_threat_analysis[[#This Row],[Joint Belief Given Threat Event AND First Conditional Outcome]]/SUM(tbl_threat_analysis[[#This Row],[Joint Belief Given Threat Event AND First Conditional Outcome]:[Joint Belief Given Threat Event AND Second Conditional Outcome]]))</f>
        <v/>
      </c>
      <c r="L11" s="11"/>
      <c r="M11" s="11"/>
      <c r="N11" s="7" t="str">
        <f>IF(tbl_threat_analysis[[#This Row],[Degree of Belief the Threat is True Given Initial Evidence]]=0,"","Because "&amp;tbl_threat_analysis[[#This Row],[Evidence for Second Conditional Outcome]]&amp;" "&amp;tbl_threat_analysis[[#This Row],[Second Conditional Outcome]]&amp;" given "&amp;tbl_threat_analysis[[#This Row],[Threat]])</f>
        <v/>
      </c>
      <c r="O11" s="4"/>
      <c r="P11" s="59" t="str">
        <f>IF(tbl_threat_analysis[[#This Row],[Degree of Belief the Threat is True Given Initial Evidence]]=0,"",tbl_threat_analysis[[#This Row],[Degree of Belief the Threat is True Given Initial Evidence]]*tbl_threat_analysis[[#This Row],[Degree of Belief of First Conditional Outcome Given Its Evidence]])</f>
        <v/>
      </c>
      <c r="Q11" s="59" t="str">
        <f>IF(tbl_threat_analysis[[#This Row],[Degree of Belief the Threat is True Given Initial Evidence]]=0,"",tbl_threat_analysis[[#This Row],[Inverse of Belief the Threat Event is True Given Condition]]*tbl_threat_analysis[[#This Row],[Degree of Belief of Second Conditional Outcome Given Its Evidence]])</f>
        <v/>
      </c>
      <c r="R11" s="13" t="str">
        <f>IF(tbl_threat_analysis[[#This Row],[Degree of Belief the Threat is True Given Initial Evidence]]=0,"",tbl_threat_analysis[[#This Row],[Joint Belief Given Threat Event AND Second Conditional Outcome]]/SUM(tbl_threat_analysis[[#This Row],[Joint Belief Given Threat Event AND First Conditional Outcome]:[Joint Belief Given Threat Event AND Second Conditional Outcome]]))</f>
        <v/>
      </c>
    </row>
    <row r="12" spans="2:18" ht="35.1" customHeight="1" x14ac:dyDescent="0.2">
      <c r="B12" s="2" t="s">
        <v>82</v>
      </c>
      <c r="E12" s="4"/>
      <c r="F12" s="4" t="str">
        <f>IF(tbl_threat_analysis[[#This Row],[Degree of Belief the Threat is True Given Initial Evidence]]=0,"",100%-tbl_threat_analysis[[#This Row],[Degree of Belief the Threat is True Given Initial Evidence]])</f>
        <v/>
      </c>
      <c r="G12" s="11"/>
      <c r="H12" s="3"/>
      <c r="I12" s="3" t="str">
        <f>IF(tbl_threat_analysis[[#This Row],[Degree of Belief the Threat is True Given Initial Evidence]]=0,"","Because "&amp;tbl_threat_analysis[[#This Row],[Evidence for First Conditional Outcome]]&amp;" "&amp;tbl_threat_analysis[[#This Row],[First Conditional Outcome]]&amp;" given "&amp;tbl_threat_analysis[[#This Row],[Threat]])</f>
        <v/>
      </c>
      <c r="J12" s="4"/>
      <c r="K12" s="13" t="str">
        <f>IF(tbl_threat_analysis[[#This Row],[Degree of Belief the Threat is True Given Initial Evidence]]=0,"",tbl_threat_analysis[[#This Row],[Joint Belief Given Threat Event AND First Conditional Outcome]]/SUM(tbl_threat_analysis[[#This Row],[Joint Belief Given Threat Event AND First Conditional Outcome]:[Joint Belief Given Threat Event AND Second Conditional Outcome]]))</f>
        <v/>
      </c>
      <c r="L12" s="11"/>
      <c r="M12" s="11"/>
      <c r="N12" s="7" t="str">
        <f>IF(tbl_threat_analysis[[#This Row],[Degree of Belief the Threat is True Given Initial Evidence]]=0,"","Because "&amp;tbl_threat_analysis[[#This Row],[Evidence for Second Conditional Outcome]]&amp;" "&amp;tbl_threat_analysis[[#This Row],[Second Conditional Outcome]]&amp;" given "&amp;tbl_threat_analysis[[#This Row],[Threat]])</f>
        <v/>
      </c>
      <c r="O12" s="4"/>
      <c r="P12" s="59" t="str">
        <f>IF(tbl_threat_analysis[[#This Row],[Degree of Belief the Threat is True Given Initial Evidence]]=0,"",tbl_threat_analysis[[#This Row],[Degree of Belief the Threat is True Given Initial Evidence]]*tbl_threat_analysis[[#This Row],[Degree of Belief of First Conditional Outcome Given Its Evidence]])</f>
        <v/>
      </c>
      <c r="Q12" s="59" t="str">
        <f>IF(tbl_threat_analysis[[#This Row],[Degree of Belief the Threat is True Given Initial Evidence]]=0,"",tbl_threat_analysis[[#This Row],[Inverse of Belief the Threat Event is True Given Condition]]*tbl_threat_analysis[[#This Row],[Degree of Belief of Second Conditional Outcome Given Its Evidence]])</f>
        <v/>
      </c>
      <c r="R12" s="13" t="str">
        <f>IF(tbl_threat_analysis[[#This Row],[Degree of Belief the Threat is True Given Initial Evidence]]=0,"",tbl_threat_analysis[[#This Row],[Joint Belief Given Threat Event AND Second Conditional Outcome]]/SUM(tbl_threat_analysis[[#This Row],[Joint Belief Given Threat Event AND First Conditional Outcome]:[Joint Belief Given Threat Event AND Second Conditional Outcome]]))</f>
        <v/>
      </c>
    </row>
    <row r="13" spans="2:18" ht="35.1" customHeight="1" x14ac:dyDescent="0.2">
      <c r="B13" s="2" t="s">
        <v>83</v>
      </c>
      <c r="E13" s="4"/>
      <c r="F13" s="4" t="str">
        <f>IF(tbl_threat_analysis[[#This Row],[Degree of Belief the Threat is True Given Initial Evidence]]=0,"",100%-tbl_threat_analysis[[#This Row],[Degree of Belief the Threat is True Given Initial Evidence]])</f>
        <v/>
      </c>
      <c r="G13" s="11"/>
      <c r="H13" s="3"/>
      <c r="I13" s="3" t="str">
        <f>IF(tbl_threat_analysis[[#This Row],[Degree of Belief the Threat is True Given Initial Evidence]]=0,"","Because "&amp;tbl_threat_analysis[[#This Row],[Evidence for First Conditional Outcome]]&amp;" "&amp;tbl_threat_analysis[[#This Row],[First Conditional Outcome]]&amp;" given "&amp;tbl_threat_analysis[[#This Row],[Threat]])</f>
        <v/>
      </c>
      <c r="J13" s="4"/>
      <c r="K13" s="13" t="str">
        <f>IF(tbl_threat_analysis[[#This Row],[Degree of Belief the Threat is True Given Initial Evidence]]=0,"",tbl_threat_analysis[[#This Row],[Joint Belief Given Threat Event AND First Conditional Outcome]]/SUM(tbl_threat_analysis[[#This Row],[Joint Belief Given Threat Event AND First Conditional Outcome]:[Joint Belief Given Threat Event AND Second Conditional Outcome]]))</f>
        <v/>
      </c>
      <c r="L13" s="11"/>
      <c r="M13" s="11"/>
      <c r="N13" s="7" t="str">
        <f>IF(tbl_threat_analysis[[#This Row],[Degree of Belief the Threat is True Given Initial Evidence]]=0,"","Because "&amp;tbl_threat_analysis[[#This Row],[Evidence for Second Conditional Outcome]]&amp;" "&amp;tbl_threat_analysis[[#This Row],[Second Conditional Outcome]]&amp;" given "&amp;tbl_threat_analysis[[#This Row],[Threat]])</f>
        <v/>
      </c>
      <c r="O13" s="4"/>
      <c r="P13" s="59" t="str">
        <f>IF(tbl_threat_analysis[[#This Row],[Degree of Belief the Threat is True Given Initial Evidence]]=0,"",tbl_threat_analysis[[#This Row],[Degree of Belief the Threat is True Given Initial Evidence]]*tbl_threat_analysis[[#This Row],[Degree of Belief of First Conditional Outcome Given Its Evidence]])</f>
        <v/>
      </c>
      <c r="Q13" s="59" t="str">
        <f>IF(tbl_threat_analysis[[#This Row],[Degree of Belief the Threat is True Given Initial Evidence]]=0,"",tbl_threat_analysis[[#This Row],[Inverse of Belief the Threat Event is True Given Condition]]*tbl_threat_analysis[[#This Row],[Degree of Belief of Second Conditional Outcome Given Its Evidence]])</f>
        <v/>
      </c>
      <c r="R13" s="13" t="str">
        <f>IF(tbl_threat_analysis[[#This Row],[Degree of Belief the Threat is True Given Initial Evidence]]=0,"",tbl_threat_analysis[[#This Row],[Joint Belief Given Threat Event AND Second Conditional Outcome]]/SUM(tbl_threat_analysis[[#This Row],[Joint Belief Given Threat Event AND First Conditional Outcome]:[Joint Belief Given Threat Event AND Second Conditional Outcome]]))</f>
        <v/>
      </c>
    </row>
    <row r="14" spans="2:18" ht="35.1" customHeight="1" x14ac:dyDescent="0.2">
      <c r="B14" s="2" t="s">
        <v>84</v>
      </c>
      <c r="E14" s="4"/>
      <c r="F14" s="4" t="str">
        <f>IF(tbl_threat_analysis[[#This Row],[Degree of Belief the Threat is True Given Initial Evidence]]=0,"",100%-tbl_threat_analysis[[#This Row],[Degree of Belief the Threat is True Given Initial Evidence]])</f>
        <v/>
      </c>
      <c r="G14" s="11"/>
      <c r="H14" s="3"/>
      <c r="I14" s="3" t="str">
        <f>IF(tbl_threat_analysis[[#This Row],[Degree of Belief the Threat is True Given Initial Evidence]]=0,"","Because "&amp;tbl_threat_analysis[[#This Row],[Evidence for First Conditional Outcome]]&amp;" "&amp;tbl_threat_analysis[[#This Row],[First Conditional Outcome]]&amp;" given "&amp;tbl_threat_analysis[[#This Row],[Threat]])</f>
        <v/>
      </c>
      <c r="J14" s="4"/>
      <c r="K14" s="13" t="str">
        <f>IF(tbl_threat_analysis[[#This Row],[Degree of Belief the Threat is True Given Initial Evidence]]=0,"",tbl_threat_analysis[[#This Row],[Joint Belief Given Threat Event AND First Conditional Outcome]]/SUM(tbl_threat_analysis[[#This Row],[Joint Belief Given Threat Event AND First Conditional Outcome]:[Joint Belief Given Threat Event AND Second Conditional Outcome]]))</f>
        <v/>
      </c>
      <c r="L14" s="11"/>
      <c r="M14" s="11"/>
      <c r="N14" s="7" t="str">
        <f>IF(tbl_threat_analysis[[#This Row],[Degree of Belief the Threat is True Given Initial Evidence]]=0,"","Because "&amp;tbl_threat_analysis[[#This Row],[Evidence for Second Conditional Outcome]]&amp;" "&amp;tbl_threat_analysis[[#This Row],[Second Conditional Outcome]]&amp;" given "&amp;tbl_threat_analysis[[#This Row],[Threat]])</f>
        <v/>
      </c>
      <c r="O14" s="4"/>
      <c r="P14" s="59" t="str">
        <f>IF(tbl_threat_analysis[[#This Row],[Degree of Belief the Threat is True Given Initial Evidence]]=0,"",tbl_threat_analysis[[#This Row],[Degree of Belief the Threat is True Given Initial Evidence]]*tbl_threat_analysis[[#This Row],[Degree of Belief of First Conditional Outcome Given Its Evidence]])</f>
        <v/>
      </c>
      <c r="Q14" s="59" t="str">
        <f>IF(tbl_threat_analysis[[#This Row],[Degree of Belief the Threat is True Given Initial Evidence]]=0,"",tbl_threat_analysis[[#This Row],[Inverse of Belief the Threat Event is True Given Condition]]*tbl_threat_analysis[[#This Row],[Degree of Belief of Second Conditional Outcome Given Its Evidence]])</f>
        <v/>
      </c>
      <c r="R14" s="13" t="str">
        <f>IF(tbl_threat_analysis[[#This Row],[Degree of Belief the Threat is True Given Initial Evidence]]=0,"",tbl_threat_analysis[[#This Row],[Joint Belief Given Threat Event AND Second Conditional Outcome]]/SUM(tbl_threat_analysis[[#This Row],[Joint Belief Given Threat Event AND First Conditional Outcome]:[Joint Belief Given Threat Event AND Second Conditional Outcome]]))</f>
        <v/>
      </c>
    </row>
    <row r="15" spans="2:18" ht="35.1" customHeight="1" x14ac:dyDescent="0.2">
      <c r="B15" s="2" t="s">
        <v>85</v>
      </c>
      <c r="E15" s="4"/>
      <c r="F15" s="4" t="str">
        <f>IF(tbl_threat_analysis[[#This Row],[Degree of Belief the Threat is True Given Initial Evidence]]=0,"",100%-tbl_threat_analysis[[#This Row],[Degree of Belief the Threat is True Given Initial Evidence]])</f>
        <v/>
      </c>
      <c r="G15" s="11"/>
      <c r="H15" s="3"/>
      <c r="I15" s="3" t="str">
        <f>IF(tbl_threat_analysis[[#This Row],[Degree of Belief the Threat is True Given Initial Evidence]]=0,"","Because "&amp;tbl_threat_analysis[[#This Row],[Evidence for First Conditional Outcome]]&amp;" "&amp;tbl_threat_analysis[[#This Row],[First Conditional Outcome]]&amp;" given "&amp;tbl_threat_analysis[[#This Row],[Threat]])</f>
        <v/>
      </c>
      <c r="J15" s="4"/>
      <c r="K15" s="13" t="str">
        <f>IF(tbl_threat_analysis[[#This Row],[Degree of Belief the Threat is True Given Initial Evidence]]=0,"",tbl_threat_analysis[[#This Row],[Joint Belief Given Threat Event AND First Conditional Outcome]]/SUM(tbl_threat_analysis[[#This Row],[Joint Belief Given Threat Event AND First Conditional Outcome]:[Joint Belief Given Threat Event AND Second Conditional Outcome]]))</f>
        <v/>
      </c>
      <c r="L15" s="11"/>
      <c r="M15" s="11"/>
      <c r="N15" s="7" t="str">
        <f>IF(tbl_threat_analysis[[#This Row],[Degree of Belief the Threat is True Given Initial Evidence]]=0,"","Because "&amp;tbl_threat_analysis[[#This Row],[Evidence for Second Conditional Outcome]]&amp;" "&amp;tbl_threat_analysis[[#This Row],[Second Conditional Outcome]]&amp;" given "&amp;tbl_threat_analysis[[#This Row],[Threat]])</f>
        <v/>
      </c>
      <c r="O15" s="4"/>
      <c r="P15" s="59" t="str">
        <f>IF(tbl_threat_analysis[[#This Row],[Degree of Belief the Threat is True Given Initial Evidence]]=0,"",tbl_threat_analysis[[#This Row],[Degree of Belief the Threat is True Given Initial Evidence]]*tbl_threat_analysis[[#This Row],[Degree of Belief of First Conditional Outcome Given Its Evidence]])</f>
        <v/>
      </c>
      <c r="Q15" s="59" t="str">
        <f>IF(tbl_threat_analysis[[#This Row],[Degree of Belief the Threat is True Given Initial Evidence]]=0,"",tbl_threat_analysis[[#This Row],[Inverse of Belief the Threat Event is True Given Condition]]*tbl_threat_analysis[[#This Row],[Degree of Belief of Second Conditional Outcome Given Its Evidence]])</f>
        <v/>
      </c>
      <c r="R15" s="13" t="str">
        <f>IF(tbl_threat_analysis[[#This Row],[Degree of Belief the Threat is True Given Initial Evidence]]=0,"",tbl_threat_analysis[[#This Row],[Joint Belief Given Threat Event AND Second Conditional Outcome]]/SUM(tbl_threat_analysis[[#This Row],[Joint Belief Given Threat Event AND First Conditional Outcome]:[Joint Belief Given Threat Event AND Second Conditional Outcome]]))</f>
        <v/>
      </c>
    </row>
    <row r="16" spans="2:18" ht="35.1" customHeight="1" x14ac:dyDescent="0.2">
      <c r="B16" s="2" t="s">
        <v>86</v>
      </c>
      <c r="E16" s="4"/>
      <c r="F16" s="4" t="str">
        <f>IF(tbl_threat_analysis[[#This Row],[Degree of Belief the Threat is True Given Initial Evidence]]=0,"",100%-tbl_threat_analysis[[#This Row],[Degree of Belief the Threat is True Given Initial Evidence]])</f>
        <v/>
      </c>
      <c r="G16" s="11"/>
      <c r="H16" s="3"/>
      <c r="I16" s="3" t="str">
        <f>IF(tbl_threat_analysis[[#This Row],[Degree of Belief the Threat is True Given Initial Evidence]]=0,"","Because "&amp;tbl_threat_analysis[[#This Row],[Evidence for First Conditional Outcome]]&amp;" "&amp;tbl_threat_analysis[[#This Row],[First Conditional Outcome]]&amp;" given "&amp;tbl_threat_analysis[[#This Row],[Threat]])</f>
        <v/>
      </c>
      <c r="J16" s="4"/>
      <c r="K16" s="13" t="str">
        <f>IF(tbl_threat_analysis[[#This Row],[Degree of Belief the Threat is True Given Initial Evidence]]=0,"",tbl_threat_analysis[[#This Row],[Joint Belief Given Threat Event AND First Conditional Outcome]]/SUM(tbl_threat_analysis[[#This Row],[Joint Belief Given Threat Event AND First Conditional Outcome]:[Joint Belief Given Threat Event AND Second Conditional Outcome]]))</f>
        <v/>
      </c>
      <c r="L16" s="11"/>
      <c r="M16" s="11"/>
      <c r="N16" s="7" t="str">
        <f>IF(tbl_threat_analysis[[#This Row],[Degree of Belief the Threat is True Given Initial Evidence]]=0,"","Because "&amp;tbl_threat_analysis[[#This Row],[Evidence for Second Conditional Outcome]]&amp;" "&amp;tbl_threat_analysis[[#This Row],[Second Conditional Outcome]]&amp;" given "&amp;tbl_threat_analysis[[#This Row],[Threat]])</f>
        <v/>
      </c>
      <c r="O16" s="4"/>
      <c r="P16" s="59" t="str">
        <f>IF(tbl_threat_analysis[[#This Row],[Degree of Belief the Threat is True Given Initial Evidence]]=0,"",tbl_threat_analysis[[#This Row],[Degree of Belief the Threat is True Given Initial Evidence]]*tbl_threat_analysis[[#This Row],[Degree of Belief of First Conditional Outcome Given Its Evidence]])</f>
        <v/>
      </c>
      <c r="Q16" s="59" t="str">
        <f>IF(tbl_threat_analysis[[#This Row],[Degree of Belief the Threat is True Given Initial Evidence]]=0,"",tbl_threat_analysis[[#This Row],[Inverse of Belief the Threat Event is True Given Condition]]*tbl_threat_analysis[[#This Row],[Degree of Belief of Second Conditional Outcome Given Its Evidence]])</f>
        <v/>
      </c>
      <c r="R16" s="13" t="str">
        <f>IF(tbl_threat_analysis[[#This Row],[Degree of Belief the Threat is True Given Initial Evidence]]=0,"",tbl_threat_analysis[[#This Row],[Joint Belief Given Threat Event AND Second Conditional Outcome]]/SUM(tbl_threat_analysis[[#This Row],[Joint Belief Given Threat Event AND First Conditional Outcome]:[Joint Belief Given Threat Event AND Second Conditional Outcome]]))</f>
        <v/>
      </c>
    </row>
    <row r="17" spans="2:18" ht="35.1" customHeight="1" x14ac:dyDescent="0.2">
      <c r="B17" s="2" t="s">
        <v>87</v>
      </c>
      <c r="E17" s="4"/>
      <c r="F17" s="4" t="str">
        <f>IF(tbl_threat_analysis[[#This Row],[Degree of Belief the Threat is True Given Initial Evidence]]=0,"",100%-tbl_threat_analysis[[#This Row],[Degree of Belief the Threat is True Given Initial Evidence]])</f>
        <v/>
      </c>
      <c r="G17" s="11"/>
      <c r="H17" s="3"/>
      <c r="I17" s="3" t="str">
        <f>IF(tbl_threat_analysis[[#This Row],[Degree of Belief the Threat is True Given Initial Evidence]]=0,"","Because "&amp;tbl_threat_analysis[[#This Row],[Evidence for First Conditional Outcome]]&amp;" "&amp;tbl_threat_analysis[[#This Row],[First Conditional Outcome]]&amp;" given "&amp;tbl_threat_analysis[[#This Row],[Threat]])</f>
        <v/>
      </c>
      <c r="J17" s="4"/>
      <c r="K17" s="13" t="str">
        <f>IF(tbl_threat_analysis[[#This Row],[Degree of Belief the Threat is True Given Initial Evidence]]=0,"",tbl_threat_analysis[[#This Row],[Joint Belief Given Threat Event AND First Conditional Outcome]]/SUM(tbl_threat_analysis[[#This Row],[Joint Belief Given Threat Event AND First Conditional Outcome]:[Joint Belief Given Threat Event AND Second Conditional Outcome]]))</f>
        <v/>
      </c>
      <c r="L17" s="11"/>
      <c r="M17" s="11"/>
      <c r="N17" s="7" t="str">
        <f>IF(tbl_threat_analysis[[#This Row],[Degree of Belief the Threat is True Given Initial Evidence]]=0,"","Because "&amp;tbl_threat_analysis[[#This Row],[Evidence for Second Conditional Outcome]]&amp;" "&amp;tbl_threat_analysis[[#This Row],[Second Conditional Outcome]]&amp;" given "&amp;tbl_threat_analysis[[#This Row],[Threat]])</f>
        <v/>
      </c>
      <c r="O17" s="4"/>
      <c r="P17" s="59" t="str">
        <f>IF(tbl_threat_analysis[[#This Row],[Degree of Belief the Threat is True Given Initial Evidence]]=0,"",tbl_threat_analysis[[#This Row],[Degree of Belief the Threat is True Given Initial Evidence]]*tbl_threat_analysis[[#This Row],[Degree of Belief of First Conditional Outcome Given Its Evidence]])</f>
        <v/>
      </c>
      <c r="Q17" s="59" t="str">
        <f>IF(tbl_threat_analysis[[#This Row],[Degree of Belief the Threat is True Given Initial Evidence]]=0,"",tbl_threat_analysis[[#This Row],[Inverse of Belief the Threat Event is True Given Condition]]*tbl_threat_analysis[[#This Row],[Degree of Belief of Second Conditional Outcome Given Its Evidence]])</f>
        <v/>
      </c>
      <c r="R17" s="13" t="str">
        <f>IF(tbl_threat_analysis[[#This Row],[Degree of Belief the Threat is True Given Initial Evidence]]=0,"",tbl_threat_analysis[[#This Row],[Joint Belief Given Threat Event AND Second Conditional Outcome]]/SUM(tbl_threat_analysis[[#This Row],[Joint Belief Given Threat Event AND First Conditional Outcome]:[Joint Belief Given Threat Event AND Second Conditional Outcome]]))</f>
        <v/>
      </c>
    </row>
    <row r="18" spans="2:18" ht="35.1" customHeight="1" x14ac:dyDescent="0.2">
      <c r="B18" s="2" t="s">
        <v>88</v>
      </c>
      <c r="E18" s="4"/>
      <c r="F18" s="4" t="str">
        <f>IF(tbl_threat_analysis[[#This Row],[Degree of Belief the Threat is True Given Initial Evidence]]=0,"",100%-tbl_threat_analysis[[#This Row],[Degree of Belief the Threat is True Given Initial Evidence]])</f>
        <v/>
      </c>
      <c r="G18" s="14"/>
      <c r="H18" s="3"/>
      <c r="I18" s="3" t="str">
        <f>IF(tbl_threat_analysis[[#This Row],[Degree of Belief the Threat is True Given Initial Evidence]]=0,"","Because "&amp;tbl_threat_analysis[[#This Row],[Evidence for First Conditional Outcome]]&amp;" "&amp;tbl_threat_analysis[[#This Row],[First Conditional Outcome]]&amp;" given "&amp;tbl_threat_analysis[[#This Row],[Threat]])</f>
        <v/>
      </c>
      <c r="J18" s="4"/>
      <c r="K18" s="13" t="str">
        <f>IF(tbl_threat_analysis[[#This Row],[Degree of Belief the Threat is True Given Initial Evidence]]=0,"",tbl_threat_analysis[[#This Row],[Joint Belief Given Threat Event AND First Conditional Outcome]]/SUM(tbl_threat_analysis[[#This Row],[Joint Belief Given Threat Event AND First Conditional Outcome]:[Joint Belief Given Threat Event AND Second Conditional Outcome]]))</f>
        <v/>
      </c>
      <c r="L18" s="11"/>
      <c r="M18" s="11"/>
      <c r="N18" s="7" t="str">
        <f>IF(tbl_threat_analysis[[#This Row],[Degree of Belief the Threat is True Given Initial Evidence]]=0,"","Because "&amp;tbl_threat_analysis[[#This Row],[Evidence for Second Conditional Outcome]]&amp;" "&amp;tbl_threat_analysis[[#This Row],[Second Conditional Outcome]]&amp;" given "&amp;tbl_threat_analysis[[#This Row],[Threat]])</f>
        <v/>
      </c>
      <c r="O18" s="4"/>
      <c r="P18" s="59" t="str">
        <f>IF(tbl_threat_analysis[[#This Row],[Degree of Belief the Threat is True Given Initial Evidence]]=0,"",tbl_threat_analysis[[#This Row],[Degree of Belief the Threat is True Given Initial Evidence]]*tbl_threat_analysis[[#This Row],[Degree of Belief of First Conditional Outcome Given Its Evidence]])</f>
        <v/>
      </c>
      <c r="Q18" s="59" t="str">
        <f>IF(tbl_threat_analysis[[#This Row],[Degree of Belief the Threat is True Given Initial Evidence]]=0,"",tbl_threat_analysis[[#This Row],[Inverse of Belief the Threat Event is True Given Condition]]*tbl_threat_analysis[[#This Row],[Degree of Belief of Second Conditional Outcome Given Its Evidence]])</f>
        <v/>
      </c>
      <c r="R18" s="13" t="str">
        <f>IF(tbl_threat_analysis[[#This Row],[Degree of Belief the Threat is True Given Initial Evidence]]=0,"",tbl_threat_analysis[[#This Row],[Joint Belief Given Threat Event AND Second Conditional Outcome]]/SUM(tbl_threat_analysis[[#This Row],[Joint Belief Given Threat Event AND First Conditional Outcome]:[Joint Belief Given Threat Event AND Second Conditional Outcome]]))</f>
        <v/>
      </c>
    </row>
    <row r="19" spans="2:18" ht="35.1" customHeight="1" x14ac:dyDescent="0.2">
      <c r="B19" s="2" t="s">
        <v>89</v>
      </c>
      <c r="E19" s="4"/>
      <c r="F19" s="4" t="str">
        <f>IF(tbl_threat_analysis[[#This Row],[Degree of Belief the Threat is True Given Initial Evidence]]=0,"",100%-tbl_threat_analysis[[#This Row],[Degree of Belief the Threat is True Given Initial Evidence]])</f>
        <v/>
      </c>
      <c r="G19" s="11"/>
      <c r="H19" s="3"/>
      <c r="I19" s="3" t="str">
        <f>IF(tbl_threat_analysis[[#This Row],[Degree of Belief the Threat is True Given Initial Evidence]]=0,"","Because "&amp;tbl_threat_analysis[[#This Row],[Evidence for First Conditional Outcome]]&amp;" "&amp;tbl_threat_analysis[[#This Row],[First Conditional Outcome]]&amp;" given "&amp;tbl_threat_analysis[[#This Row],[Threat]])</f>
        <v/>
      </c>
      <c r="J19" s="4"/>
      <c r="K19" s="13" t="str">
        <f>IF(tbl_threat_analysis[[#This Row],[Degree of Belief the Threat is True Given Initial Evidence]]=0,"",tbl_threat_analysis[[#This Row],[Joint Belief Given Threat Event AND First Conditional Outcome]]/SUM(tbl_threat_analysis[[#This Row],[Joint Belief Given Threat Event AND First Conditional Outcome]:[Joint Belief Given Threat Event AND Second Conditional Outcome]]))</f>
        <v/>
      </c>
      <c r="L19" s="11"/>
      <c r="M19" s="11"/>
      <c r="N19" s="7" t="str">
        <f>IF(tbl_threat_analysis[[#This Row],[Degree of Belief the Threat is True Given Initial Evidence]]=0,"","Because "&amp;tbl_threat_analysis[[#This Row],[Evidence for Second Conditional Outcome]]&amp;" "&amp;tbl_threat_analysis[[#This Row],[Second Conditional Outcome]]&amp;" given "&amp;tbl_threat_analysis[[#This Row],[Threat]])</f>
        <v/>
      </c>
      <c r="O19" s="4"/>
      <c r="P19" s="59" t="str">
        <f>IF(tbl_threat_analysis[[#This Row],[Degree of Belief the Threat is True Given Initial Evidence]]=0,"",tbl_threat_analysis[[#This Row],[Degree of Belief the Threat is True Given Initial Evidence]]*tbl_threat_analysis[[#This Row],[Degree of Belief of First Conditional Outcome Given Its Evidence]])</f>
        <v/>
      </c>
      <c r="Q19" s="59" t="str">
        <f>IF(tbl_threat_analysis[[#This Row],[Degree of Belief the Threat is True Given Initial Evidence]]=0,"",tbl_threat_analysis[[#This Row],[Inverse of Belief the Threat Event is True Given Condition]]*tbl_threat_analysis[[#This Row],[Degree of Belief of Second Conditional Outcome Given Its Evidence]])</f>
        <v/>
      </c>
      <c r="R19" s="13" t="str">
        <f>IF(tbl_threat_analysis[[#This Row],[Degree of Belief the Threat is True Given Initial Evidence]]=0,"",tbl_threat_analysis[[#This Row],[Joint Belief Given Threat Event AND Second Conditional Outcome]]/SUM(tbl_threat_analysis[[#This Row],[Joint Belief Given Threat Event AND First Conditional Outcome]:[Joint Belief Given Threat Event AND Second Conditional Outcome]]))</f>
        <v/>
      </c>
    </row>
    <row r="20" spans="2:18" ht="35.1" customHeight="1" x14ac:dyDescent="0.2">
      <c r="B20" s="2" t="s">
        <v>90</v>
      </c>
      <c r="E20" s="4"/>
      <c r="F20" s="4" t="str">
        <f>IF(tbl_threat_analysis[[#This Row],[Degree of Belief the Threat is True Given Initial Evidence]]=0,"",100%-tbl_threat_analysis[[#This Row],[Degree of Belief the Threat is True Given Initial Evidence]])</f>
        <v/>
      </c>
      <c r="G20" s="11"/>
      <c r="H20" s="3"/>
      <c r="I20" s="3" t="str">
        <f>IF(tbl_threat_analysis[[#This Row],[Degree of Belief the Threat is True Given Initial Evidence]]=0,"","Because "&amp;tbl_threat_analysis[[#This Row],[Evidence for First Conditional Outcome]]&amp;" "&amp;tbl_threat_analysis[[#This Row],[First Conditional Outcome]]&amp;" given "&amp;tbl_threat_analysis[[#This Row],[Threat]])</f>
        <v/>
      </c>
      <c r="J20" s="4"/>
      <c r="K20" s="13" t="str">
        <f>IF(tbl_threat_analysis[[#This Row],[Degree of Belief the Threat is True Given Initial Evidence]]=0,"",tbl_threat_analysis[[#This Row],[Joint Belief Given Threat Event AND First Conditional Outcome]]/SUM(tbl_threat_analysis[[#This Row],[Joint Belief Given Threat Event AND First Conditional Outcome]:[Joint Belief Given Threat Event AND Second Conditional Outcome]]))</f>
        <v/>
      </c>
      <c r="L20" s="11"/>
      <c r="M20" s="11"/>
      <c r="N20" s="7" t="str">
        <f>IF(tbl_threat_analysis[[#This Row],[Degree of Belief the Threat is True Given Initial Evidence]]=0,"","Because "&amp;tbl_threat_analysis[[#This Row],[Evidence for Second Conditional Outcome]]&amp;" "&amp;tbl_threat_analysis[[#This Row],[Second Conditional Outcome]]&amp;" given "&amp;tbl_threat_analysis[[#This Row],[Threat]])</f>
        <v/>
      </c>
      <c r="O20" s="4"/>
      <c r="P20" s="59" t="str">
        <f>IF(tbl_threat_analysis[[#This Row],[Degree of Belief the Threat is True Given Initial Evidence]]=0,"",tbl_threat_analysis[[#This Row],[Degree of Belief the Threat is True Given Initial Evidence]]*tbl_threat_analysis[[#This Row],[Degree of Belief of First Conditional Outcome Given Its Evidence]])</f>
        <v/>
      </c>
      <c r="Q20" s="59" t="str">
        <f>IF(tbl_threat_analysis[[#This Row],[Degree of Belief the Threat is True Given Initial Evidence]]=0,"",tbl_threat_analysis[[#This Row],[Inverse of Belief the Threat Event is True Given Condition]]*tbl_threat_analysis[[#This Row],[Degree of Belief of Second Conditional Outcome Given Its Evidence]])</f>
        <v/>
      </c>
      <c r="R20" s="13" t="str">
        <f>IF(tbl_threat_analysis[[#This Row],[Degree of Belief the Threat is True Given Initial Evidence]]=0,"",tbl_threat_analysis[[#This Row],[Joint Belief Given Threat Event AND Second Conditional Outcome]]/SUM(tbl_threat_analysis[[#This Row],[Joint Belief Given Threat Event AND First Conditional Outcome]:[Joint Belief Given Threat Event AND Second Conditional Outcome]]))</f>
        <v/>
      </c>
    </row>
    <row r="21" spans="2:18" ht="35.1" customHeight="1" x14ac:dyDescent="0.2">
      <c r="B21" s="2" t="s">
        <v>91</v>
      </c>
      <c r="E21" s="4"/>
      <c r="F21" s="4" t="str">
        <f>IF(tbl_threat_analysis[[#This Row],[Degree of Belief the Threat is True Given Initial Evidence]]=0,"",100%-tbl_threat_analysis[[#This Row],[Degree of Belief the Threat is True Given Initial Evidence]])</f>
        <v/>
      </c>
      <c r="G21" s="11"/>
      <c r="H21" s="3"/>
      <c r="I21" s="3" t="str">
        <f>IF(tbl_threat_analysis[[#This Row],[Degree of Belief the Threat is True Given Initial Evidence]]=0,"","Because "&amp;tbl_threat_analysis[[#This Row],[Evidence for First Conditional Outcome]]&amp;" "&amp;tbl_threat_analysis[[#This Row],[First Conditional Outcome]]&amp;" given "&amp;tbl_threat_analysis[[#This Row],[Threat]])</f>
        <v/>
      </c>
      <c r="J21" s="4"/>
      <c r="K21" s="13" t="str">
        <f>IF(tbl_threat_analysis[[#This Row],[Degree of Belief the Threat is True Given Initial Evidence]]=0,"",tbl_threat_analysis[[#This Row],[Joint Belief Given Threat Event AND First Conditional Outcome]]/SUM(tbl_threat_analysis[[#This Row],[Joint Belief Given Threat Event AND First Conditional Outcome]:[Joint Belief Given Threat Event AND Second Conditional Outcome]]))</f>
        <v/>
      </c>
      <c r="L21" s="11"/>
      <c r="M21" s="11"/>
      <c r="N21" s="7" t="str">
        <f>IF(tbl_threat_analysis[[#This Row],[Degree of Belief the Threat is True Given Initial Evidence]]=0,"","Because "&amp;tbl_threat_analysis[[#This Row],[Evidence for Second Conditional Outcome]]&amp;" "&amp;tbl_threat_analysis[[#This Row],[Second Conditional Outcome]]&amp;" given "&amp;tbl_threat_analysis[[#This Row],[Threat]])</f>
        <v/>
      </c>
      <c r="O21" s="4"/>
      <c r="P21" s="59" t="str">
        <f>IF(tbl_threat_analysis[[#This Row],[Degree of Belief the Threat is True Given Initial Evidence]]=0,"",tbl_threat_analysis[[#This Row],[Degree of Belief the Threat is True Given Initial Evidence]]*tbl_threat_analysis[[#This Row],[Degree of Belief of First Conditional Outcome Given Its Evidence]])</f>
        <v/>
      </c>
      <c r="Q21" s="59" t="str">
        <f>IF(tbl_threat_analysis[[#This Row],[Degree of Belief the Threat is True Given Initial Evidence]]=0,"",tbl_threat_analysis[[#This Row],[Inverse of Belief the Threat Event is True Given Condition]]*tbl_threat_analysis[[#This Row],[Degree of Belief of Second Conditional Outcome Given Its Evidence]])</f>
        <v/>
      </c>
      <c r="R21" s="13" t="str">
        <f>IF(tbl_threat_analysis[[#This Row],[Degree of Belief the Threat is True Given Initial Evidence]]=0,"",tbl_threat_analysis[[#This Row],[Joint Belief Given Threat Event AND Second Conditional Outcome]]/SUM(tbl_threat_analysis[[#This Row],[Joint Belief Given Threat Event AND First Conditional Outcome]:[Joint Belief Given Threat Event AND Second Conditional Outcome]]))</f>
        <v/>
      </c>
    </row>
    <row r="22" spans="2:18" ht="35.1" customHeight="1" x14ac:dyDescent="0.2">
      <c r="B22" s="2" t="s">
        <v>92</v>
      </c>
      <c r="E22" s="4"/>
      <c r="F22" s="4" t="str">
        <f>IF(tbl_threat_analysis[[#This Row],[Degree of Belief the Threat is True Given Initial Evidence]]=0,"",100%-tbl_threat_analysis[[#This Row],[Degree of Belief the Threat is True Given Initial Evidence]])</f>
        <v/>
      </c>
      <c r="G22" s="11"/>
      <c r="H22" s="3"/>
      <c r="I22" s="3" t="str">
        <f>IF(tbl_threat_analysis[[#This Row],[Degree of Belief the Threat is True Given Initial Evidence]]=0,"","Because "&amp;tbl_threat_analysis[[#This Row],[Evidence for First Conditional Outcome]]&amp;" "&amp;tbl_threat_analysis[[#This Row],[First Conditional Outcome]]&amp;" given "&amp;tbl_threat_analysis[[#This Row],[Threat]])</f>
        <v/>
      </c>
      <c r="J22" s="4"/>
      <c r="K22" s="13" t="str">
        <f>IF(tbl_threat_analysis[[#This Row],[Degree of Belief the Threat is True Given Initial Evidence]]=0,"",tbl_threat_analysis[[#This Row],[Joint Belief Given Threat Event AND First Conditional Outcome]]/SUM(tbl_threat_analysis[[#This Row],[Joint Belief Given Threat Event AND First Conditional Outcome]:[Joint Belief Given Threat Event AND Second Conditional Outcome]]))</f>
        <v/>
      </c>
      <c r="L22" s="11"/>
      <c r="M22" s="11"/>
      <c r="N22" s="7" t="str">
        <f>IF(tbl_threat_analysis[[#This Row],[Degree of Belief the Threat is True Given Initial Evidence]]=0,"","Because "&amp;tbl_threat_analysis[[#This Row],[Evidence for Second Conditional Outcome]]&amp;" "&amp;tbl_threat_analysis[[#This Row],[Second Conditional Outcome]]&amp;" given "&amp;tbl_threat_analysis[[#This Row],[Threat]])</f>
        <v/>
      </c>
      <c r="O22" s="4"/>
      <c r="P22" s="59" t="str">
        <f>IF(tbl_threat_analysis[[#This Row],[Degree of Belief the Threat is True Given Initial Evidence]]=0,"",tbl_threat_analysis[[#This Row],[Degree of Belief the Threat is True Given Initial Evidence]]*tbl_threat_analysis[[#This Row],[Degree of Belief of First Conditional Outcome Given Its Evidence]])</f>
        <v/>
      </c>
      <c r="Q22" s="59" t="str">
        <f>IF(tbl_threat_analysis[[#This Row],[Degree of Belief the Threat is True Given Initial Evidence]]=0,"",tbl_threat_analysis[[#This Row],[Inverse of Belief the Threat Event is True Given Condition]]*tbl_threat_analysis[[#This Row],[Degree of Belief of Second Conditional Outcome Given Its Evidence]])</f>
        <v/>
      </c>
      <c r="R22" s="13" t="str">
        <f>IF(tbl_threat_analysis[[#This Row],[Degree of Belief the Threat is True Given Initial Evidence]]=0,"",tbl_threat_analysis[[#This Row],[Joint Belief Given Threat Event AND Second Conditional Outcome]]/SUM(tbl_threat_analysis[[#This Row],[Joint Belief Given Threat Event AND First Conditional Outcome]:[Joint Belief Given Threat Event AND Second Conditional Outcome]]))</f>
        <v/>
      </c>
    </row>
    <row r="23" spans="2:18" ht="35.1" customHeight="1" x14ac:dyDescent="0.2">
      <c r="B23" s="2" t="s">
        <v>93</v>
      </c>
      <c r="E23" s="4"/>
      <c r="F23" s="4" t="str">
        <f>IF(tbl_threat_analysis[[#This Row],[Degree of Belief the Threat is True Given Initial Evidence]]=0,"",100%-tbl_threat_analysis[[#This Row],[Degree of Belief the Threat is True Given Initial Evidence]])</f>
        <v/>
      </c>
      <c r="G23" s="11"/>
      <c r="H23" s="3"/>
      <c r="I23" s="3" t="str">
        <f>IF(tbl_threat_analysis[[#This Row],[Degree of Belief the Threat is True Given Initial Evidence]]=0,"","Because "&amp;tbl_threat_analysis[[#This Row],[Evidence for First Conditional Outcome]]&amp;" "&amp;tbl_threat_analysis[[#This Row],[First Conditional Outcome]]&amp;" given "&amp;tbl_threat_analysis[[#This Row],[Threat]])</f>
        <v/>
      </c>
      <c r="J23" s="4"/>
      <c r="K23" s="13" t="str">
        <f>IF(tbl_threat_analysis[[#This Row],[Degree of Belief the Threat is True Given Initial Evidence]]=0,"",tbl_threat_analysis[[#This Row],[Joint Belief Given Threat Event AND First Conditional Outcome]]/SUM(tbl_threat_analysis[[#This Row],[Joint Belief Given Threat Event AND First Conditional Outcome]:[Joint Belief Given Threat Event AND Second Conditional Outcome]]))</f>
        <v/>
      </c>
      <c r="L23" s="11"/>
      <c r="M23" s="11"/>
      <c r="N23" s="7" t="str">
        <f>IF(tbl_threat_analysis[[#This Row],[Degree of Belief the Threat is True Given Initial Evidence]]=0,"","Because "&amp;tbl_threat_analysis[[#This Row],[Evidence for Second Conditional Outcome]]&amp;" "&amp;tbl_threat_analysis[[#This Row],[Second Conditional Outcome]]&amp;" given "&amp;tbl_threat_analysis[[#This Row],[Threat]])</f>
        <v/>
      </c>
      <c r="O23" s="4"/>
      <c r="P23" s="59" t="str">
        <f>IF(tbl_threat_analysis[[#This Row],[Degree of Belief the Threat is True Given Initial Evidence]]=0,"",tbl_threat_analysis[[#This Row],[Degree of Belief the Threat is True Given Initial Evidence]]*tbl_threat_analysis[[#This Row],[Degree of Belief of First Conditional Outcome Given Its Evidence]])</f>
        <v/>
      </c>
      <c r="Q23" s="59" t="str">
        <f>IF(tbl_threat_analysis[[#This Row],[Degree of Belief the Threat is True Given Initial Evidence]]=0,"",tbl_threat_analysis[[#This Row],[Inverse of Belief the Threat Event is True Given Condition]]*tbl_threat_analysis[[#This Row],[Degree of Belief of Second Conditional Outcome Given Its Evidence]])</f>
        <v/>
      </c>
      <c r="R23" s="13" t="str">
        <f>IF(tbl_threat_analysis[[#This Row],[Degree of Belief the Threat is True Given Initial Evidence]]=0,"",tbl_threat_analysis[[#This Row],[Joint Belief Given Threat Event AND Second Conditional Outcome]]/SUM(tbl_threat_analysis[[#This Row],[Joint Belief Given Threat Event AND First Conditional Outcome]:[Joint Belief Given Threat Event AND Second Conditional Outcome]]))</f>
        <v/>
      </c>
    </row>
    <row r="24" spans="2:18" ht="35.1" customHeight="1" x14ac:dyDescent="0.2">
      <c r="B24" s="2" t="s">
        <v>94</v>
      </c>
      <c r="E24" s="4"/>
      <c r="F24" s="4" t="str">
        <f>IF(tbl_threat_analysis[[#This Row],[Degree of Belief the Threat is True Given Initial Evidence]]=0,"",100%-tbl_threat_analysis[[#This Row],[Degree of Belief the Threat is True Given Initial Evidence]])</f>
        <v/>
      </c>
      <c r="G24" s="11"/>
      <c r="H24" s="3"/>
      <c r="I24" s="3" t="str">
        <f>IF(tbl_threat_analysis[[#This Row],[Degree of Belief the Threat is True Given Initial Evidence]]=0,"","Because "&amp;tbl_threat_analysis[[#This Row],[Evidence for First Conditional Outcome]]&amp;" "&amp;tbl_threat_analysis[[#This Row],[First Conditional Outcome]]&amp;" given "&amp;tbl_threat_analysis[[#This Row],[Threat]])</f>
        <v/>
      </c>
      <c r="J24" s="4"/>
      <c r="K24" s="13" t="str">
        <f>IF(tbl_threat_analysis[[#This Row],[Degree of Belief the Threat is True Given Initial Evidence]]=0,"",tbl_threat_analysis[[#This Row],[Joint Belief Given Threat Event AND First Conditional Outcome]]/SUM(tbl_threat_analysis[[#This Row],[Joint Belief Given Threat Event AND First Conditional Outcome]:[Joint Belief Given Threat Event AND Second Conditional Outcome]]))</f>
        <v/>
      </c>
      <c r="L24" s="11"/>
      <c r="M24" s="11"/>
      <c r="N24" s="7" t="str">
        <f>IF(tbl_threat_analysis[[#This Row],[Degree of Belief the Threat is True Given Initial Evidence]]=0,"","Because "&amp;tbl_threat_analysis[[#This Row],[Evidence for Second Conditional Outcome]]&amp;" "&amp;tbl_threat_analysis[[#This Row],[Second Conditional Outcome]]&amp;" given "&amp;tbl_threat_analysis[[#This Row],[Threat]])</f>
        <v/>
      </c>
      <c r="O24" s="4"/>
      <c r="P24" s="59" t="str">
        <f>IF(tbl_threat_analysis[[#This Row],[Degree of Belief the Threat is True Given Initial Evidence]]=0,"",tbl_threat_analysis[[#This Row],[Degree of Belief the Threat is True Given Initial Evidence]]*tbl_threat_analysis[[#This Row],[Degree of Belief of First Conditional Outcome Given Its Evidence]])</f>
        <v/>
      </c>
      <c r="Q24" s="59" t="str">
        <f>IF(tbl_threat_analysis[[#This Row],[Degree of Belief the Threat is True Given Initial Evidence]]=0,"",tbl_threat_analysis[[#This Row],[Inverse of Belief the Threat Event is True Given Condition]]*tbl_threat_analysis[[#This Row],[Degree of Belief of Second Conditional Outcome Given Its Evidence]])</f>
        <v/>
      </c>
      <c r="R24" s="13" t="str">
        <f>IF(tbl_threat_analysis[[#This Row],[Degree of Belief the Threat is True Given Initial Evidence]]=0,"",tbl_threat_analysis[[#This Row],[Joint Belief Given Threat Event AND Second Conditional Outcome]]/SUM(tbl_threat_analysis[[#This Row],[Joint Belief Given Threat Event AND First Conditional Outcome]:[Joint Belief Given Threat Event AND Second Conditional Outcome]]))</f>
        <v/>
      </c>
    </row>
    <row r="25" spans="2:18" ht="35.1" customHeight="1" x14ac:dyDescent="0.2">
      <c r="B25" s="2" t="s">
        <v>95</v>
      </c>
      <c r="E25" s="4"/>
      <c r="F25" s="4" t="str">
        <f>IF(tbl_threat_analysis[[#This Row],[Degree of Belief the Threat is True Given Initial Evidence]]=0,"",100%-tbl_threat_analysis[[#This Row],[Degree of Belief the Threat is True Given Initial Evidence]])</f>
        <v/>
      </c>
      <c r="G25" s="11"/>
      <c r="H25" s="3"/>
      <c r="I25" s="3" t="str">
        <f>IF(tbl_threat_analysis[[#This Row],[Degree of Belief the Threat is True Given Initial Evidence]]=0,"","Because "&amp;tbl_threat_analysis[[#This Row],[Evidence for First Conditional Outcome]]&amp;" "&amp;tbl_threat_analysis[[#This Row],[First Conditional Outcome]]&amp;" given "&amp;tbl_threat_analysis[[#This Row],[Threat]])</f>
        <v/>
      </c>
      <c r="J25" s="4"/>
      <c r="K25" s="13" t="str">
        <f>IF(tbl_threat_analysis[[#This Row],[Degree of Belief the Threat is True Given Initial Evidence]]=0,"",tbl_threat_analysis[[#This Row],[Joint Belief Given Threat Event AND First Conditional Outcome]]/SUM(tbl_threat_analysis[[#This Row],[Joint Belief Given Threat Event AND First Conditional Outcome]:[Joint Belief Given Threat Event AND Second Conditional Outcome]]))</f>
        <v/>
      </c>
      <c r="L25" s="11"/>
      <c r="M25" s="11"/>
      <c r="N25" s="7" t="str">
        <f>IF(tbl_threat_analysis[[#This Row],[Degree of Belief the Threat is True Given Initial Evidence]]=0,"","Because "&amp;tbl_threat_analysis[[#This Row],[Evidence for Second Conditional Outcome]]&amp;" "&amp;tbl_threat_analysis[[#This Row],[Second Conditional Outcome]]&amp;" given "&amp;tbl_threat_analysis[[#This Row],[Threat]])</f>
        <v/>
      </c>
      <c r="O25" s="4"/>
      <c r="P25" s="59" t="str">
        <f>IF(tbl_threat_analysis[[#This Row],[Degree of Belief the Threat is True Given Initial Evidence]]=0,"",tbl_threat_analysis[[#This Row],[Degree of Belief the Threat is True Given Initial Evidence]]*tbl_threat_analysis[[#This Row],[Degree of Belief of First Conditional Outcome Given Its Evidence]])</f>
        <v/>
      </c>
      <c r="Q25" s="59" t="str">
        <f>IF(tbl_threat_analysis[[#This Row],[Degree of Belief the Threat is True Given Initial Evidence]]=0,"",tbl_threat_analysis[[#This Row],[Inverse of Belief the Threat Event is True Given Condition]]*tbl_threat_analysis[[#This Row],[Degree of Belief of Second Conditional Outcome Given Its Evidence]])</f>
        <v/>
      </c>
      <c r="R25" s="13" t="str">
        <f>IF(tbl_threat_analysis[[#This Row],[Degree of Belief the Threat is True Given Initial Evidence]]=0,"",tbl_threat_analysis[[#This Row],[Joint Belief Given Threat Event AND Second Conditional Outcome]]/SUM(tbl_threat_analysis[[#This Row],[Joint Belief Given Threat Event AND First Conditional Outcome]:[Joint Belief Given Threat Event AND Second Conditional Outcome]]))</f>
        <v/>
      </c>
    </row>
    <row r="26" spans="2:18" ht="35.1" customHeight="1" x14ac:dyDescent="0.2">
      <c r="B26" s="2" t="s">
        <v>96</v>
      </c>
      <c r="E26" s="4"/>
      <c r="F26" s="4" t="str">
        <f>IF(tbl_threat_analysis[[#This Row],[Degree of Belief the Threat is True Given Initial Evidence]]=0,"",100%-tbl_threat_analysis[[#This Row],[Degree of Belief the Threat is True Given Initial Evidence]])</f>
        <v/>
      </c>
      <c r="G26" s="11"/>
      <c r="H26" s="3"/>
      <c r="I26" s="3" t="str">
        <f>IF(tbl_threat_analysis[[#This Row],[Degree of Belief the Threat is True Given Initial Evidence]]=0,"","Because "&amp;tbl_threat_analysis[[#This Row],[Evidence for First Conditional Outcome]]&amp;" "&amp;tbl_threat_analysis[[#This Row],[First Conditional Outcome]]&amp;" given "&amp;tbl_threat_analysis[[#This Row],[Threat]])</f>
        <v/>
      </c>
      <c r="J26" s="4"/>
      <c r="K26" s="13" t="str">
        <f>IF(tbl_threat_analysis[[#This Row],[Degree of Belief the Threat is True Given Initial Evidence]]=0,"",tbl_threat_analysis[[#This Row],[Joint Belief Given Threat Event AND First Conditional Outcome]]/SUM(tbl_threat_analysis[[#This Row],[Joint Belief Given Threat Event AND First Conditional Outcome]:[Joint Belief Given Threat Event AND Second Conditional Outcome]]))</f>
        <v/>
      </c>
      <c r="L26" s="11"/>
      <c r="M26" s="11"/>
      <c r="N26" s="7" t="str">
        <f>IF(tbl_threat_analysis[[#This Row],[Degree of Belief the Threat is True Given Initial Evidence]]=0,"","Because "&amp;tbl_threat_analysis[[#This Row],[Evidence for Second Conditional Outcome]]&amp;" "&amp;tbl_threat_analysis[[#This Row],[Second Conditional Outcome]]&amp;" given "&amp;tbl_threat_analysis[[#This Row],[Threat]])</f>
        <v/>
      </c>
      <c r="O26" s="4"/>
      <c r="P26" s="59" t="str">
        <f>IF(tbl_threat_analysis[[#This Row],[Degree of Belief the Threat is True Given Initial Evidence]]=0,"",tbl_threat_analysis[[#This Row],[Degree of Belief the Threat is True Given Initial Evidence]]*tbl_threat_analysis[[#This Row],[Degree of Belief of First Conditional Outcome Given Its Evidence]])</f>
        <v/>
      </c>
      <c r="Q26" s="59" t="str">
        <f>IF(tbl_threat_analysis[[#This Row],[Degree of Belief the Threat is True Given Initial Evidence]]=0,"",tbl_threat_analysis[[#This Row],[Inverse of Belief the Threat Event is True Given Condition]]*tbl_threat_analysis[[#This Row],[Degree of Belief of Second Conditional Outcome Given Its Evidence]])</f>
        <v/>
      </c>
      <c r="R26" s="13" t="str">
        <f>IF(tbl_threat_analysis[[#This Row],[Degree of Belief the Threat is True Given Initial Evidence]]=0,"",tbl_threat_analysis[[#This Row],[Joint Belief Given Threat Event AND Second Conditional Outcome]]/SUM(tbl_threat_analysis[[#This Row],[Joint Belief Given Threat Event AND First Conditional Outcome]:[Joint Belief Given Threat Event AND Second Conditional Outcome]]))</f>
        <v/>
      </c>
    </row>
    <row r="27" spans="2:18" ht="35.1" customHeight="1" x14ac:dyDescent="0.2">
      <c r="B27" s="2" t="s">
        <v>103</v>
      </c>
      <c r="E27" s="4"/>
      <c r="F27" s="4" t="str">
        <f>IF(tbl_threat_analysis[[#This Row],[Degree of Belief the Threat is True Given Initial Evidence]]=0,"",100%-tbl_threat_analysis[[#This Row],[Degree of Belief the Threat is True Given Initial Evidence]])</f>
        <v/>
      </c>
      <c r="G27" s="11"/>
      <c r="H27" s="11"/>
      <c r="I27" s="7" t="str">
        <f>IF(tbl_threat_analysis[[#This Row],[Degree of Belief the Threat is True Given Initial Evidence]]=0,"","Because "&amp;tbl_threat_analysis[[#This Row],[Evidence for First Conditional Outcome]]&amp;" "&amp;tbl_threat_analysis[[#This Row],[First Conditional Outcome]]&amp;" given "&amp;tbl_threat_analysis[[#This Row],[Threat]])</f>
        <v/>
      </c>
      <c r="J27" s="4"/>
      <c r="K27" s="6" t="str">
        <f>IF(tbl_threat_analysis[[#This Row],[Degree of Belief the Threat is True Given Initial Evidence]]=0,"",tbl_threat_analysis[[#This Row],[Joint Belief Given Threat Event AND First Conditional Outcome]]/SUM(tbl_threat_analysis[[#This Row],[Joint Belief Given Threat Event AND First Conditional Outcome]:[Joint Belief Given Threat Event AND Second Conditional Outcome]]))</f>
        <v/>
      </c>
      <c r="L27" s="11"/>
      <c r="M27" s="11"/>
      <c r="N27" s="7" t="str">
        <f>IF(tbl_threat_analysis[[#This Row],[Degree of Belief the Threat is True Given Initial Evidence]]=0,"","Because "&amp;tbl_threat_analysis[[#This Row],[Evidence for Second Conditional Outcome]]&amp;" "&amp;tbl_threat_analysis[[#This Row],[Second Conditional Outcome]]&amp;" given "&amp;tbl_threat_analysis[[#This Row],[Threat]])</f>
        <v/>
      </c>
      <c r="O27" s="4"/>
      <c r="P27" s="60" t="str">
        <f>IF(tbl_threat_analysis[[#This Row],[Degree of Belief the Threat is True Given Initial Evidence]]=0,"",tbl_threat_analysis[[#This Row],[Degree of Belief the Threat is True Given Initial Evidence]]*tbl_threat_analysis[[#This Row],[Degree of Belief of First Conditional Outcome Given Its Evidence]])</f>
        <v/>
      </c>
      <c r="Q27" s="60" t="str">
        <f>IF(tbl_threat_analysis[[#This Row],[Degree of Belief the Threat is True Given Initial Evidence]]=0,"",tbl_threat_analysis[[#This Row],[Inverse of Belief the Threat Event is True Given Condition]]*tbl_threat_analysis[[#This Row],[Degree of Belief of Second Conditional Outcome Given Its Evidence]])</f>
        <v/>
      </c>
      <c r="R27" s="6" t="str">
        <f>IF(tbl_threat_analysis[[#This Row],[Degree of Belief the Threat is True Given Initial Evidence]]=0,"",tbl_threat_analysis[[#This Row],[Joint Belief Given Threat Event AND Second Conditional Outcome]]/SUM(tbl_threat_analysis[[#This Row],[Joint Belief Given Threat Event AND First Conditional Outcome]:[Joint Belief Given Threat Event AND Second Conditional Outcome]]))</f>
        <v/>
      </c>
    </row>
    <row r="28" spans="2:18" ht="35.1" customHeight="1" x14ac:dyDescent="0.2">
      <c r="F28" s="3"/>
    </row>
    <row r="29" spans="2:18" ht="35.1" customHeight="1" x14ac:dyDescent="0.2">
      <c r="F29" s="3"/>
    </row>
    <row r="38" spans="5:7" ht="35.1" customHeight="1" x14ac:dyDescent="0.2">
      <c r="E38" s="3"/>
      <c r="F38" s="4"/>
      <c r="G38" s="11"/>
    </row>
  </sheetData>
  <mergeCells count="1">
    <mergeCell ref="B5:R5"/>
  </mergeCells>
  <phoneticPr fontId="1" type="noConversion"/>
  <dataValidations count="1">
    <dataValidation allowBlank="1" showInputMessage="1" showErrorMessage="1" promptTitle="Usage Note" prompt="This is a statement about something that might happen." sqref="C7" xr:uid="{8F65D49D-9923-FE4C-8632-CA984436DC7D}"/>
  </dataValidations>
  <pageMargins left="0.7" right="0.7" top="0.75" bottom="0.75" header="0.3" footer="0.3"/>
  <pageSetup orientation="portrait" horizontalDpi="0" verticalDpi="0"/>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DA9DB-B9BB-574A-B066-5AD77C5A0D48}">
  <dimension ref="B2:AI41"/>
  <sheetViews>
    <sheetView showGridLines="0" showRowColHeaders="0" workbookViewId="0">
      <pane xSplit="3" ySplit="4" topLeftCell="D5" activePane="bottomRight" state="frozen"/>
      <selection pane="topRight" activeCell="D1" sqref="D1"/>
      <selection pane="bottomLeft" activeCell="A5" sqref="A5"/>
      <selection pane="bottomRight" activeCell="B3" sqref="B3:C3"/>
    </sheetView>
  </sheetViews>
  <sheetFormatPr defaultColWidth="20.6640625" defaultRowHeight="39.950000000000003" customHeight="1" x14ac:dyDescent="0.2"/>
  <cols>
    <col min="1" max="1" width="1.88671875" customWidth="1"/>
    <col min="2" max="2" width="7.44140625" bestFit="1" customWidth="1"/>
    <col min="4" max="8" width="12.6640625" bestFit="1" customWidth="1"/>
    <col min="9" max="11" width="10.6640625" customWidth="1"/>
    <col min="12" max="16" width="10.6640625" hidden="1" customWidth="1"/>
    <col min="17" max="17" width="15.6640625" customWidth="1"/>
    <col min="18" max="18" width="15" bestFit="1" customWidth="1"/>
    <col min="19" max="19" width="14.5546875" bestFit="1" customWidth="1"/>
    <col min="20" max="21" width="6.109375" hidden="1" customWidth="1"/>
    <col min="22" max="22" width="18.109375" bestFit="1" customWidth="1"/>
    <col min="23" max="23" width="15.6640625" customWidth="1"/>
    <col min="24" max="28" width="7.5546875" customWidth="1"/>
    <col min="29" max="29" width="11.6640625" bestFit="1" customWidth="1"/>
    <col min="30" max="30" width="10.88671875" bestFit="1" customWidth="1"/>
    <col min="31" max="31" width="22.109375" bestFit="1" customWidth="1"/>
    <col min="32" max="32" width="25.6640625" customWidth="1"/>
    <col min="33" max="33" width="16" bestFit="1" customWidth="1"/>
    <col min="34" max="34" width="25.6640625" customWidth="1"/>
    <col min="35" max="35" width="22.5546875" customWidth="1"/>
  </cols>
  <sheetData>
    <row r="2" spans="2:35" ht="24" customHeight="1" thickBot="1" x14ac:dyDescent="0.25"/>
    <row r="3" spans="2:35" s="36" customFormat="1" ht="60" customHeight="1" thickBot="1" x14ac:dyDescent="0.25">
      <c r="B3" s="69" t="s">
        <v>266</v>
      </c>
      <c r="C3" s="71"/>
      <c r="D3" s="69" t="s">
        <v>265</v>
      </c>
      <c r="E3" s="70"/>
      <c r="F3" s="70"/>
      <c r="G3" s="70"/>
      <c r="H3" s="71"/>
      <c r="I3" s="79" t="s">
        <v>269</v>
      </c>
      <c r="J3" s="79"/>
      <c r="K3" s="79"/>
      <c r="L3" s="38" t="s">
        <v>264</v>
      </c>
      <c r="M3" s="38" t="s">
        <v>264</v>
      </c>
      <c r="N3" s="38" t="s">
        <v>264</v>
      </c>
      <c r="O3" s="38" t="s">
        <v>264</v>
      </c>
      <c r="P3" s="38" t="s">
        <v>264</v>
      </c>
      <c r="Q3" s="69" t="s">
        <v>270</v>
      </c>
      <c r="R3" s="70"/>
      <c r="S3" s="70"/>
      <c r="T3" s="70"/>
      <c r="U3" s="70"/>
      <c r="V3" s="70"/>
      <c r="W3" s="71"/>
      <c r="X3" s="78" t="s">
        <v>273</v>
      </c>
      <c r="Y3" s="79"/>
      <c r="Z3" s="79"/>
      <c r="AA3" s="79"/>
      <c r="AB3" s="80"/>
      <c r="AC3" s="69" t="s">
        <v>276</v>
      </c>
      <c r="AD3" s="70"/>
      <c r="AE3" s="70"/>
      <c r="AF3" s="70"/>
      <c r="AG3" s="70"/>
      <c r="AH3" s="70"/>
      <c r="AI3" s="71"/>
    </row>
    <row r="4" spans="2:35" ht="45" x14ac:dyDescent="0.2">
      <c r="B4" s="2" t="s">
        <v>0</v>
      </c>
      <c r="C4" s="2" t="s">
        <v>267</v>
      </c>
      <c r="D4" s="2" t="s">
        <v>154</v>
      </c>
      <c r="E4" s="2" t="s">
        <v>155</v>
      </c>
      <c r="F4" s="2" t="s">
        <v>156</v>
      </c>
      <c r="G4" s="2" t="s">
        <v>157</v>
      </c>
      <c r="H4" s="2" t="s">
        <v>158</v>
      </c>
      <c r="I4" s="2" t="s">
        <v>159</v>
      </c>
      <c r="J4" s="2" t="s">
        <v>160</v>
      </c>
      <c r="K4" s="2" t="s">
        <v>161</v>
      </c>
      <c r="L4" s="2" t="s">
        <v>162</v>
      </c>
      <c r="M4" s="2" t="s">
        <v>163</v>
      </c>
      <c r="N4" s="2" t="s">
        <v>164</v>
      </c>
      <c r="O4" s="2" t="s">
        <v>165</v>
      </c>
      <c r="P4" s="2" t="s">
        <v>166</v>
      </c>
      <c r="Q4" s="2" t="s">
        <v>170</v>
      </c>
      <c r="R4" s="2" t="s">
        <v>167</v>
      </c>
      <c r="S4" s="2" t="s">
        <v>169</v>
      </c>
      <c r="T4" s="2" t="s">
        <v>168</v>
      </c>
      <c r="U4" s="2" t="s">
        <v>26</v>
      </c>
      <c r="V4" s="2" t="s">
        <v>271</v>
      </c>
      <c r="W4" s="2" t="s">
        <v>272</v>
      </c>
      <c r="X4" s="2" t="s">
        <v>171</v>
      </c>
      <c r="Y4" s="2" t="s">
        <v>172</v>
      </c>
      <c r="Z4" s="2" t="s">
        <v>173</v>
      </c>
      <c r="AA4" s="2" t="s">
        <v>174</v>
      </c>
      <c r="AB4" s="2" t="s">
        <v>175</v>
      </c>
      <c r="AC4" s="2" t="s">
        <v>176</v>
      </c>
      <c r="AD4" s="2" t="s">
        <v>177</v>
      </c>
      <c r="AE4" s="2" t="s">
        <v>178</v>
      </c>
      <c r="AF4" s="2" t="s">
        <v>179</v>
      </c>
      <c r="AG4" s="2" t="s">
        <v>180</v>
      </c>
      <c r="AH4" s="2" t="s">
        <v>274</v>
      </c>
      <c r="AI4" s="2" t="s">
        <v>275</v>
      </c>
    </row>
    <row r="5" spans="2:35" ht="50.1" customHeight="1" x14ac:dyDescent="0.2">
      <c r="B5" s="33" t="s">
        <v>181</v>
      </c>
      <c r="C5" s="3" t="s">
        <v>182</v>
      </c>
      <c r="D5" s="24" t="s">
        <v>268</v>
      </c>
      <c r="E5" s="24" t="s">
        <v>268</v>
      </c>
      <c r="F5" s="24" t="s">
        <v>268</v>
      </c>
      <c r="G5" s="24" t="s">
        <v>268</v>
      </c>
      <c r="H5" s="24" t="s">
        <v>268</v>
      </c>
      <c r="I5" s="37">
        <v>41</v>
      </c>
      <c r="J5" s="37">
        <v>24</v>
      </c>
      <c r="K5" s="37">
        <v>16</v>
      </c>
      <c r="L5" s="39">
        <f>((tbl_BA_activities[[#This Row],[Worst]]+tbl_BA_activities[[#This Row],[ML]]+tbl_BA_activities[[#This Row],[Best]])/3)</f>
        <v>27</v>
      </c>
      <c r="M5" s="39">
        <f>((((tbl_BA_activities[[#This Row],[Worst]])- tbl_BA_activities[[#This Row],[Mean (of the number set)]])^2 +((tbl_BA_activities[[#This Row],[ML]])- tbl_BA_activities[[#This Row],[Mean (of the number set)]])^2+((tbl_BA_activities[[#This Row],[Best]])- tbl_BA_activities[[#This Row],[Mean (of the number set)]])^2)/3)</f>
        <v>108.66666666666667</v>
      </c>
      <c r="N5" s="39">
        <f>(((tbl_BA_activities[[#This Row],[Worst]])- tbl_BA_activities[[#This Row],[Mean (of the number set)]])^2 +((tbl_BA_activities[[#This Row],[ML]])- tbl_BA_activities[[#This Row],[Mean (of the number set)]])^2+((tbl_BA_activities[[#This Row],[Best]])- tbl_BA_activities[[#This Row],[Mean (of the number set)]])^2)</f>
        <v>326</v>
      </c>
      <c r="O5" s="39">
        <f>SQRT(tbl_BA_activities[[#This Row],[Variance (of the number set)]])</f>
        <v>10.424330514074594</v>
      </c>
      <c r="P5" s="39">
        <f>IF(tbl_BA_activities[[#This Row],[ML]]=0,"",(tbl_BA_activities[[#This Row],[ML]]-tbl_BA_activities[[#This Row],[Mean (of the number set)]])/tbl_BA_activities[[#This Row],[sigma]])</f>
        <v>-0.28778826572598565</v>
      </c>
      <c r="Q5" s="40">
        <v>0.9</v>
      </c>
      <c r="R5" s="33" t="s">
        <v>183</v>
      </c>
      <c r="S5" s="33" t="s">
        <v>184</v>
      </c>
      <c r="T5" s="61">
        <f>IF(tbl_BA_activities[[#This Row],[Efficiency Adjustment]]="Efficient",0.8,IF(tbl_BA_activities[[#This Row],[Efficiency Adjustment]]="Average",0.7,IF(tbl_BA_activities[[#This Row],[Efficiency Adjustment]]="Inefficient",0.6,0)))</f>
        <v>0.8</v>
      </c>
      <c r="U5" s="61">
        <f>IF(tbl_BA_activities[[#This Row],[Proficiency Adjustment]]="Experienced",0.85,IF(tbl_BA_activities[[#This Row],[Proficiency Adjustment]]="Average",1,IF(tbl_BA_activities[[#This Row],[Proficiency Adjustment]]="Inexperienced",1.24,0)))</f>
        <v>0.85</v>
      </c>
      <c r="V5" s="25">
        <f>IF(OR(tbl_BA_activities[[#This Row],[Mean (of the number set)]]=0,tbl_BA_activities[[#This Row],[X]]=0,4=0),0,(tbl_BA_activities[[#This Row],[Mean (of the number set)]]/tbl_BA_activities[[#This Row],[X]])*tbl_BA_activities[[#This Row],[Y]])</f>
        <v>28.6875</v>
      </c>
      <c r="W5" s="25">
        <f>IF(OR(tbl_BA_activities[[#This Row],[Mean (of the number set)]]=0,tbl_BA_activities[[#This Row],[X]]=0,4=0),0,tbl_BA_activities[[#This Row],[Adjusted Effort Hours]]/tbl_BA_activities[[#This Row],[Availability]])</f>
        <v>31.875</v>
      </c>
      <c r="X5" s="37">
        <f>tbl_BA_activities[[#This Row],[Adjusted Duration in Hours]]-2*tbl_BA_activities[[#This Row],[sigma]]</f>
        <v>11.026338971850812</v>
      </c>
      <c r="Y5" s="37">
        <f>tbl_BA_activities[[#This Row],[Adjusted Duration in Hours]]-1*tbl_BA_activities[[#This Row],[sigma]]</f>
        <v>21.450669485925406</v>
      </c>
      <c r="Z5" s="37">
        <f>tbl_BA_activities[[#This Row],[Adjusted Duration in Hours]]-0*tbl_BA_activities[[#This Row],[sigma]]</f>
        <v>31.875</v>
      </c>
      <c r="AA5" s="37">
        <f>tbl_BA_activities[[#This Row],[Adjusted Duration in Hours]]+1*tbl_BA_activities[[#This Row],[sigma]]</f>
        <v>42.299330514074597</v>
      </c>
      <c r="AB5" s="37">
        <f>tbl_BA_activities[[#This Row],[Adjusted Duration in Hours]]+2*tbl_BA_activities[[#This Row],[sigma]]</f>
        <v>52.723661028149188</v>
      </c>
      <c r="AC5" s="33" t="s">
        <v>185</v>
      </c>
      <c r="AD5" s="33" t="s">
        <v>186</v>
      </c>
      <c r="AE5" s="41">
        <v>43739</v>
      </c>
      <c r="AF5" s="41">
        <v>43740</v>
      </c>
      <c r="AG5" s="42">
        <v>0.4</v>
      </c>
      <c r="AH5" s="41">
        <v>43741</v>
      </c>
      <c r="AI5" s="37">
        <f ca="1">IF(ISBLANK(tbl_BA_activities[[#This Row],[Due Date]]),"",IF(TODAY()&gt;tbl_BA_activities[[#This Row],[Due Date]],TODAY()-tbl_BA_activities[[#This Row],[Due Date]],0))</f>
        <v>71</v>
      </c>
    </row>
    <row r="6" spans="2:35" ht="50.1" customHeight="1" x14ac:dyDescent="0.2">
      <c r="B6" s="33" t="s">
        <v>187</v>
      </c>
      <c r="C6" s="3" t="s">
        <v>188</v>
      </c>
      <c r="D6" s="24" t="s">
        <v>268</v>
      </c>
      <c r="E6" s="24" t="s">
        <v>268</v>
      </c>
      <c r="F6" s="24" t="s">
        <v>268</v>
      </c>
      <c r="G6" s="24" t="s">
        <v>268</v>
      </c>
      <c r="H6" s="24" t="s">
        <v>268</v>
      </c>
      <c r="I6" s="37">
        <v>72</v>
      </c>
      <c r="J6" s="37">
        <v>25</v>
      </c>
      <c r="K6" s="37">
        <v>15</v>
      </c>
      <c r="L6" s="39">
        <f>((tbl_BA_activities[[#This Row],[Worst]]+tbl_BA_activities[[#This Row],[ML]]+tbl_BA_activities[[#This Row],[Best]])/3)</f>
        <v>37.333333333333336</v>
      </c>
      <c r="M6" s="39">
        <f>((((tbl_BA_activities[[#This Row],[Worst]])- tbl_BA_activities[[#This Row],[Mean (of the number set)]])^2 +((tbl_BA_activities[[#This Row],[ML]])- tbl_BA_activities[[#This Row],[Mean (of the number set)]])^2+((tbl_BA_activities[[#This Row],[Best]])- tbl_BA_activities[[#This Row],[Mean (of the number set)]])^2)/3)</f>
        <v>617.55555555555554</v>
      </c>
      <c r="N6" s="39">
        <f>(((tbl_BA_activities[[#This Row],[Worst]])- tbl_BA_activities[[#This Row],[Mean (of the number set)]])^2 +((tbl_BA_activities[[#This Row],[ML]])- tbl_BA_activities[[#This Row],[Mean (of the number set)]])^2+((tbl_BA_activities[[#This Row],[Best]])- tbl_BA_activities[[#This Row],[Mean (of the number set)]])^2)</f>
        <v>1852.6666666666665</v>
      </c>
      <c r="O6" s="39">
        <f>SQRT(tbl_BA_activities[[#This Row],[Variance (of the number set)]])</f>
        <v>24.850665092821068</v>
      </c>
      <c r="P6" s="39">
        <f>IF(tbl_BA_activities[[#This Row],[ML]]=0,"",(tbl_BA_activities[[#This Row],[ML]]-tbl_BA_activities[[#This Row],[Mean (of the number set)]])/tbl_BA_activities[[#This Row],[sigma]])</f>
        <v>-0.49629791747087787</v>
      </c>
      <c r="Q6" s="40">
        <v>0.6</v>
      </c>
      <c r="R6" s="33" t="s">
        <v>189</v>
      </c>
      <c r="S6" s="33" t="s">
        <v>190</v>
      </c>
      <c r="T6" s="61">
        <f>IF(tbl_BA_activities[[#This Row],[Efficiency Adjustment]]="Efficient",0.8,IF(tbl_BA_activities[[#This Row],[Efficiency Adjustment]]="Average",0.7,IF(tbl_BA_activities[[#This Row],[Efficiency Adjustment]]="Inefficient",0.6,0)))</f>
        <v>0.7</v>
      </c>
      <c r="U6" s="61">
        <f>IF(tbl_BA_activities[[#This Row],[Proficiency Adjustment]]="Experienced",0.85,IF(tbl_BA_activities[[#This Row],[Proficiency Adjustment]]="Average",1,IF(tbl_BA_activities[[#This Row],[Proficiency Adjustment]]="Inexperienced",1.24,0)))</f>
        <v>1.24</v>
      </c>
      <c r="V6" s="25">
        <f>IF(OR(tbl_BA_activities[[#This Row],[Mean (of the number set)]]=0,tbl_BA_activities[[#This Row],[X]]=0,4=0),0,(tbl_BA_activities[[#This Row],[Mean (of the number set)]]/tbl_BA_activities[[#This Row],[X]])*tbl_BA_activities[[#This Row],[Y]])</f>
        <v>66.13333333333334</v>
      </c>
      <c r="W6" s="25">
        <f>IF(OR(tbl_BA_activities[[#This Row],[Mean (of the number set)]]=0,tbl_BA_activities[[#This Row],[X]]=0,4=0),0,tbl_BA_activities[[#This Row],[Adjusted Effort Hours]]/tbl_BA_activities[[#This Row],[Availability]])</f>
        <v>110.22222222222224</v>
      </c>
      <c r="X6" s="37">
        <f>tbl_BA_activities[[#This Row],[Adjusted Duration in Hours]]-2*tbl_BA_activities[[#This Row],[sigma]]</f>
        <v>60.520892036580108</v>
      </c>
      <c r="Y6" s="37">
        <f>tbl_BA_activities[[#This Row],[Adjusted Duration in Hours]]-1*tbl_BA_activities[[#This Row],[sigma]]</f>
        <v>85.371557129401168</v>
      </c>
      <c r="Z6" s="37">
        <f>tbl_BA_activities[[#This Row],[Adjusted Duration in Hours]]-0*tbl_BA_activities[[#This Row],[sigma]]</f>
        <v>110.22222222222224</v>
      </c>
      <c r="AA6" s="37">
        <f>tbl_BA_activities[[#This Row],[Adjusted Duration in Hours]]+1*tbl_BA_activities[[#This Row],[sigma]]</f>
        <v>135.07288731504332</v>
      </c>
      <c r="AB6" s="37">
        <f>tbl_BA_activities[[#This Row],[Adjusted Duration in Hours]]+2*tbl_BA_activities[[#This Row],[sigma]]</f>
        <v>159.92355240786438</v>
      </c>
      <c r="AC6" s="33" t="s">
        <v>191</v>
      </c>
      <c r="AD6" s="33" t="s">
        <v>186</v>
      </c>
      <c r="AE6" s="41">
        <v>43741</v>
      </c>
      <c r="AF6" s="41">
        <v>43748</v>
      </c>
      <c r="AG6" s="42">
        <v>0.2</v>
      </c>
      <c r="AH6" s="41"/>
      <c r="AI6" s="37">
        <f ca="1">IF(ISBLANK(tbl_BA_activities[[#This Row],[Due Date]]),"",IF(TODAY()&gt;tbl_BA_activities[[#This Row],[Due Date]],TODAY()-tbl_BA_activities[[#This Row],[Due Date]],0))</f>
        <v>63</v>
      </c>
    </row>
    <row r="7" spans="2:35" ht="50.1" customHeight="1" x14ac:dyDescent="0.2">
      <c r="B7" s="33" t="s">
        <v>192</v>
      </c>
      <c r="C7" s="3" t="s">
        <v>193</v>
      </c>
      <c r="D7" s="24" t="s">
        <v>268</v>
      </c>
      <c r="E7" s="24" t="s">
        <v>268</v>
      </c>
      <c r="F7" s="24" t="s">
        <v>268</v>
      </c>
      <c r="G7" s="24" t="s">
        <v>268</v>
      </c>
      <c r="H7" s="24" t="s">
        <v>268</v>
      </c>
      <c r="I7" s="37">
        <v>53</v>
      </c>
      <c r="J7" s="37">
        <v>24</v>
      </c>
      <c r="K7" s="37">
        <v>20</v>
      </c>
      <c r="L7" s="39">
        <f>((tbl_BA_activities[[#This Row],[Worst]]+tbl_BA_activities[[#This Row],[ML]]+tbl_BA_activities[[#This Row],[Best]])/3)</f>
        <v>32.333333333333336</v>
      </c>
      <c r="M7" s="39">
        <f>((((tbl_BA_activities[[#This Row],[Worst]])- tbl_BA_activities[[#This Row],[Mean (of the number set)]])^2 +((tbl_BA_activities[[#This Row],[ML]])- tbl_BA_activities[[#This Row],[Mean (of the number set)]])^2+((tbl_BA_activities[[#This Row],[Best]])- tbl_BA_activities[[#This Row],[Mean (of the number set)]])^2)/3)</f>
        <v>216.22222222222226</v>
      </c>
      <c r="N7" s="39">
        <f>(((tbl_BA_activities[[#This Row],[Worst]])- tbl_BA_activities[[#This Row],[Mean (of the number set)]])^2 +((tbl_BA_activities[[#This Row],[ML]])- tbl_BA_activities[[#This Row],[Mean (of the number set)]])^2+((tbl_BA_activities[[#This Row],[Best]])- tbl_BA_activities[[#This Row],[Mean (of the number set)]])^2)</f>
        <v>648.66666666666674</v>
      </c>
      <c r="O7" s="39">
        <f>SQRT(tbl_BA_activities[[#This Row],[Variance (of the number set)]])</f>
        <v>14.704496666741854</v>
      </c>
      <c r="P7" s="39">
        <f>IF(tbl_BA_activities[[#This Row],[ML]]=0,"",(tbl_BA_activities[[#This Row],[ML]]-tbl_BA_activities[[#This Row],[Mean (of the number set)]])/tbl_BA_activities[[#This Row],[sigma]])</f>
        <v>-0.5667200668065977</v>
      </c>
      <c r="Q7" s="40">
        <v>0.75</v>
      </c>
      <c r="R7" s="33" t="s">
        <v>183</v>
      </c>
      <c r="S7" s="33" t="s">
        <v>189</v>
      </c>
      <c r="T7" s="61">
        <f>IF(tbl_BA_activities[[#This Row],[Efficiency Adjustment]]="Efficient",0.8,IF(tbl_BA_activities[[#This Row],[Efficiency Adjustment]]="Average",0.7,IF(tbl_BA_activities[[#This Row],[Efficiency Adjustment]]="Inefficient",0.6,0)))</f>
        <v>0.8</v>
      </c>
      <c r="U7" s="61">
        <f>IF(tbl_BA_activities[[#This Row],[Proficiency Adjustment]]="Experienced",0.85,IF(tbl_BA_activities[[#This Row],[Proficiency Adjustment]]="Average",1,IF(tbl_BA_activities[[#This Row],[Proficiency Adjustment]]="Inexperienced",1.24,0)))</f>
        <v>1</v>
      </c>
      <c r="V7" s="25">
        <f>IF(OR(tbl_BA_activities[[#This Row],[Mean (of the number set)]]=0,tbl_BA_activities[[#This Row],[X]]=0,4=0),0,(tbl_BA_activities[[#This Row],[Mean (of the number set)]]/tbl_BA_activities[[#This Row],[X]])*tbl_BA_activities[[#This Row],[Y]])</f>
        <v>40.416666666666664</v>
      </c>
      <c r="W7" s="25">
        <f>IF(OR(tbl_BA_activities[[#This Row],[Mean (of the number set)]]=0,tbl_BA_activities[[#This Row],[X]]=0,4=0),0,tbl_BA_activities[[#This Row],[Adjusted Effort Hours]]/tbl_BA_activities[[#This Row],[Availability]])</f>
        <v>53.888888888888886</v>
      </c>
      <c r="X7" s="37">
        <f>tbl_BA_activities[[#This Row],[Adjusted Duration in Hours]]-2*tbl_BA_activities[[#This Row],[sigma]]</f>
        <v>24.479895555405179</v>
      </c>
      <c r="Y7" s="37">
        <f>tbl_BA_activities[[#This Row],[Adjusted Duration in Hours]]-1*tbl_BA_activities[[#This Row],[sigma]]</f>
        <v>39.184392222147032</v>
      </c>
      <c r="Z7" s="37">
        <f>tbl_BA_activities[[#This Row],[Adjusted Duration in Hours]]-0*tbl_BA_activities[[#This Row],[sigma]]</f>
        <v>53.888888888888886</v>
      </c>
      <c r="AA7" s="37">
        <f>tbl_BA_activities[[#This Row],[Adjusted Duration in Hours]]+1*tbl_BA_activities[[#This Row],[sigma]]</f>
        <v>68.593385555630732</v>
      </c>
      <c r="AB7" s="37">
        <f>tbl_BA_activities[[#This Row],[Adjusted Duration in Hours]]+2*tbl_BA_activities[[#This Row],[sigma]]</f>
        <v>83.297882222372593</v>
      </c>
      <c r="AC7" s="33" t="s">
        <v>194</v>
      </c>
      <c r="AD7" s="33" t="s">
        <v>186</v>
      </c>
      <c r="AE7" s="41"/>
      <c r="AF7" s="41"/>
      <c r="AG7" s="42">
        <v>0</v>
      </c>
      <c r="AH7" s="41"/>
      <c r="AI7" s="37" t="str">
        <f ca="1">IF(ISBLANK(tbl_BA_activities[[#This Row],[Due Date]]),"",IF(TODAY()&gt;tbl_BA_activities[[#This Row],[Due Date]],TODAY()-tbl_BA_activities[[#This Row],[Due Date]],0))</f>
        <v/>
      </c>
    </row>
    <row r="8" spans="2:35" ht="50.1" customHeight="1" x14ac:dyDescent="0.2">
      <c r="B8" s="33" t="s">
        <v>195</v>
      </c>
      <c r="C8" s="3" t="s">
        <v>196</v>
      </c>
      <c r="D8" s="24" t="s">
        <v>268</v>
      </c>
      <c r="E8" s="24" t="s">
        <v>268</v>
      </c>
      <c r="F8" s="24" t="s">
        <v>268</v>
      </c>
      <c r="G8" s="24" t="s">
        <v>268</v>
      </c>
      <c r="H8" s="24" t="s">
        <v>268</v>
      </c>
      <c r="I8" s="37">
        <v>55</v>
      </c>
      <c r="J8" s="37">
        <v>23</v>
      </c>
      <c r="K8" s="37">
        <v>5</v>
      </c>
      <c r="L8" s="39">
        <f>((tbl_BA_activities[[#This Row],[Worst]]+tbl_BA_activities[[#This Row],[ML]]+tbl_BA_activities[[#This Row],[Best]])/3)</f>
        <v>27.666666666666668</v>
      </c>
      <c r="M8" s="39">
        <f>((((tbl_BA_activities[[#This Row],[Worst]])- tbl_BA_activities[[#This Row],[Mean (of the number set)]])^2 +((tbl_BA_activities[[#This Row],[ML]])- tbl_BA_activities[[#This Row],[Mean (of the number set)]])^2+((tbl_BA_activities[[#This Row],[Best]])- tbl_BA_activities[[#This Row],[Mean (of the number set)]])^2)/3)</f>
        <v>427.5555555555556</v>
      </c>
      <c r="N8" s="39">
        <f>(((tbl_BA_activities[[#This Row],[Worst]])- tbl_BA_activities[[#This Row],[Mean (of the number set)]])^2 +((tbl_BA_activities[[#This Row],[ML]])- tbl_BA_activities[[#This Row],[Mean (of the number set)]])^2+((tbl_BA_activities[[#This Row],[Best]])- tbl_BA_activities[[#This Row],[Mean (of the number set)]])^2)</f>
        <v>1282.6666666666667</v>
      </c>
      <c r="O8" s="39">
        <f>SQRT(tbl_BA_activities[[#This Row],[Variance (of the number set)]])</f>
        <v>20.677416559027765</v>
      </c>
      <c r="P8" s="39">
        <f>IF(tbl_BA_activities[[#This Row],[ML]]=0,"",(tbl_BA_activities[[#This Row],[ML]]-tbl_BA_activities[[#This Row],[Mean (of the number set)]])/tbl_BA_activities[[#This Row],[sigma]])</f>
        <v>-0.22568905807670639</v>
      </c>
      <c r="Q8" s="40">
        <v>0.61074812517094434</v>
      </c>
      <c r="R8" s="33" t="s">
        <v>197</v>
      </c>
      <c r="S8" s="33" t="s">
        <v>184</v>
      </c>
      <c r="T8" s="61">
        <f>IF(tbl_BA_activities[[#This Row],[Efficiency Adjustment]]="Efficient",0.8,IF(tbl_BA_activities[[#This Row],[Efficiency Adjustment]]="Average",0.7,IF(tbl_BA_activities[[#This Row],[Efficiency Adjustment]]="Inefficient",0.6,0)))</f>
        <v>0.6</v>
      </c>
      <c r="U8" s="61">
        <f>IF(tbl_BA_activities[[#This Row],[Proficiency Adjustment]]="Experienced",0.85,IF(tbl_BA_activities[[#This Row],[Proficiency Adjustment]]="Average",1,IF(tbl_BA_activities[[#This Row],[Proficiency Adjustment]]="Inexperienced",1.24,0)))</f>
        <v>0.85</v>
      </c>
      <c r="V8" s="25">
        <f>IF(OR(tbl_BA_activities[[#This Row],[Mean (of the number set)]]=0,tbl_BA_activities[[#This Row],[X]]=0,4=0),0,(tbl_BA_activities[[#This Row],[Mean (of the number set)]]/tbl_BA_activities[[#This Row],[X]])*tbl_BA_activities[[#This Row],[Y]])</f>
        <v>39.194444444444443</v>
      </c>
      <c r="W8" s="25">
        <f>IF(OR(tbl_BA_activities[[#This Row],[Mean (of the number set)]]=0,tbl_BA_activities[[#This Row],[X]]=0,4=0),0,tbl_BA_activities[[#This Row],[Adjusted Effort Hours]]/tbl_BA_activities[[#This Row],[Availability]])</f>
        <v>64.17448180209179</v>
      </c>
      <c r="X8" s="37">
        <f>tbl_BA_activities[[#This Row],[Adjusted Duration in Hours]]-2*tbl_BA_activities[[#This Row],[sigma]]</f>
        <v>22.81964868403626</v>
      </c>
      <c r="Y8" s="37">
        <f>tbl_BA_activities[[#This Row],[Adjusted Duration in Hours]]-1*tbl_BA_activities[[#This Row],[sigma]]</f>
        <v>43.497065243064029</v>
      </c>
      <c r="Z8" s="37">
        <f>tbl_BA_activities[[#This Row],[Adjusted Duration in Hours]]-0*tbl_BA_activities[[#This Row],[sigma]]</f>
        <v>64.17448180209179</v>
      </c>
      <c r="AA8" s="37">
        <f>tbl_BA_activities[[#This Row],[Adjusted Duration in Hours]]+1*tbl_BA_activities[[#This Row],[sigma]]</f>
        <v>84.851898361119552</v>
      </c>
      <c r="AB8" s="37">
        <f>tbl_BA_activities[[#This Row],[Adjusted Duration in Hours]]+2*tbl_BA_activities[[#This Row],[sigma]]</f>
        <v>105.52931492014733</v>
      </c>
      <c r="AC8" s="33" t="s">
        <v>185</v>
      </c>
      <c r="AD8" s="33" t="s">
        <v>186</v>
      </c>
      <c r="AE8" s="41"/>
      <c r="AF8" s="41"/>
      <c r="AG8" s="42">
        <v>0</v>
      </c>
      <c r="AH8" s="41"/>
      <c r="AI8" s="37" t="str">
        <f ca="1">IF(ISBLANK(tbl_BA_activities[[#This Row],[Due Date]]),"",IF(TODAY()&gt;tbl_BA_activities[[#This Row],[Due Date]],TODAY()-tbl_BA_activities[[#This Row],[Due Date]],0))</f>
        <v/>
      </c>
    </row>
    <row r="9" spans="2:35" ht="50.1" customHeight="1" x14ac:dyDescent="0.2">
      <c r="B9" s="33" t="s">
        <v>198</v>
      </c>
      <c r="C9" s="3" t="s">
        <v>199</v>
      </c>
      <c r="D9" s="24" t="s">
        <v>268</v>
      </c>
      <c r="E9" s="24" t="s">
        <v>268</v>
      </c>
      <c r="F9" s="24" t="s">
        <v>268</v>
      </c>
      <c r="G9" s="24" t="s">
        <v>268</v>
      </c>
      <c r="H9" s="24" t="s">
        <v>268</v>
      </c>
      <c r="I9" s="37">
        <v>26</v>
      </c>
      <c r="J9" s="37">
        <v>23</v>
      </c>
      <c r="K9" s="37">
        <v>24</v>
      </c>
      <c r="L9" s="39">
        <f>((tbl_BA_activities[[#This Row],[Worst]]+tbl_BA_activities[[#This Row],[ML]]+tbl_BA_activities[[#This Row],[Best]])/3)</f>
        <v>24.333333333333332</v>
      </c>
      <c r="M9" s="39">
        <f>((((tbl_BA_activities[[#This Row],[Worst]])- tbl_BA_activities[[#This Row],[Mean (of the number set)]])^2 +((tbl_BA_activities[[#This Row],[ML]])- tbl_BA_activities[[#This Row],[Mean (of the number set)]])^2+((tbl_BA_activities[[#This Row],[Best]])- tbl_BA_activities[[#This Row],[Mean (of the number set)]])^2)/3)</f>
        <v>1.5555555555555556</v>
      </c>
      <c r="N9" s="39">
        <f>(((tbl_BA_activities[[#This Row],[Worst]])- tbl_BA_activities[[#This Row],[Mean (of the number set)]])^2 +((tbl_BA_activities[[#This Row],[ML]])- tbl_BA_activities[[#This Row],[Mean (of the number set)]])^2+((tbl_BA_activities[[#This Row],[Best]])- tbl_BA_activities[[#This Row],[Mean (of the number set)]])^2)</f>
        <v>4.666666666666667</v>
      </c>
      <c r="O9" s="39">
        <f>SQRT(tbl_BA_activities[[#This Row],[Variance (of the number set)]])</f>
        <v>1.247219128924647</v>
      </c>
      <c r="P9" s="39">
        <f>IF(tbl_BA_activities[[#This Row],[ML]]=0,"",(tbl_BA_activities[[#This Row],[ML]]-tbl_BA_activities[[#This Row],[Mean (of the number set)]])/tbl_BA_activities[[#This Row],[sigma]])</f>
        <v>-1.0690449676496967</v>
      </c>
      <c r="Q9" s="40">
        <v>0.5</v>
      </c>
      <c r="R9" s="33" t="s">
        <v>183</v>
      </c>
      <c r="S9" s="33" t="s">
        <v>189</v>
      </c>
      <c r="T9" s="61">
        <f>IF(tbl_BA_activities[[#This Row],[Efficiency Adjustment]]="Efficient",0.8,IF(tbl_BA_activities[[#This Row],[Efficiency Adjustment]]="Average",0.7,IF(tbl_BA_activities[[#This Row],[Efficiency Adjustment]]="Inefficient",0.6,0)))</f>
        <v>0.8</v>
      </c>
      <c r="U9" s="61">
        <f>IF(tbl_BA_activities[[#This Row],[Proficiency Adjustment]]="Experienced",0.85,IF(tbl_BA_activities[[#This Row],[Proficiency Adjustment]]="Average",1,IF(tbl_BA_activities[[#This Row],[Proficiency Adjustment]]="Inexperienced",1.24,0)))</f>
        <v>1</v>
      </c>
      <c r="V9" s="25">
        <f>IF(OR(tbl_BA_activities[[#This Row],[Mean (of the number set)]]=0,tbl_BA_activities[[#This Row],[X]]=0,4=0),0,(tbl_BA_activities[[#This Row],[Mean (of the number set)]]/tbl_BA_activities[[#This Row],[X]])*tbl_BA_activities[[#This Row],[Y]])</f>
        <v>30.416666666666664</v>
      </c>
      <c r="W9" s="25">
        <f>IF(OR(tbl_BA_activities[[#This Row],[Mean (of the number set)]]=0,tbl_BA_activities[[#This Row],[X]]=0,4=0),0,tbl_BA_activities[[#This Row],[Adjusted Effort Hours]]/tbl_BA_activities[[#This Row],[Availability]])</f>
        <v>60.833333333333329</v>
      </c>
      <c r="X9" s="37">
        <f>tbl_BA_activities[[#This Row],[Adjusted Duration in Hours]]-2*tbl_BA_activities[[#This Row],[sigma]]</f>
        <v>58.338895075484032</v>
      </c>
      <c r="Y9" s="37">
        <f>tbl_BA_activities[[#This Row],[Adjusted Duration in Hours]]-1*tbl_BA_activities[[#This Row],[sigma]]</f>
        <v>59.58611420440868</v>
      </c>
      <c r="Z9" s="37">
        <f>tbl_BA_activities[[#This Row],[Adjusted Duration in Hours]]-0*tbl_BA_activities[[#This Row],[sigma]]</f>
        <v>60.833333333333329</v>
      </c>
      <c r="AA9" s="37">
        <f>tbl_BA_activities[[#This Row],[Adjusted Duration in Hours]]+1*tbl_BA_activities[[#This Row],[sigma]]</f>
        <v>62.080552462257977</v>
      </c>
      <c r="AB9" s="37">
        <f>tbl_BA_activities[[#This Row],[Adjusted Duration in Hours]]+2*tbl_BA_activities[[#This Row],[sigma]]</f>
        <v>63.327771591182625</v>
      </c>
      <c r="AC9" s="33" t="s">
        <v>185</v>
      </c>
      <c r="AD9" s="33" t="s">
        <v>186</v>
      </c>
      <c r="AE9" s="41"/>
      <c r="AF9" s="41"/>
      <c r="AG9" s="42">
        <v>0</v>
      </c>
      <c r="AH9" s="41"/>
      <c r="AI9" s="37" t="str">
        <f ca="1">IF(ISBLANK(tbl_BA_activities[[#This Row],[Due Date]]),"",IF(TODAY()&gt;tbl_BA_activities[[#This Row],[Due Date]],TODAY()-tbl_BA_activities[[#This Row],[Due Date]],0))</f>
        <v/>
      </c>
    </row>
    <row r="10" spans="2:35" ht="50.1" customHeight="1" x14ac:dyDescent="0.2">
      <c r="B10" s="33" t="s">
        <v>200</v>
      </c>
      <c r="C10" s="3" t="s">
        <v>201</v>
      </c>
      <c r="D10" s="24" t="s">
        <v>268</v>
      </c>
      <c r="E10" s="24" t="s">
        <v>268</v>
      </c>
      <c r="F10" s="24" t="s">
        <v>268</v>
      </c>
      <c r="G10" s="24" t="s">
        <v>268</v>
      </c>
      <c r="H10" s="24" t="s">
        <v>268</v>
      </c>
      <c r="I10" s="37">
        <v>42</v>
      </c>
      <c r="J10" s="37">
        <v>23</v>
      </c>
      <c r="K10" s="37">
        <v>7</v>
      </c>
      <c r="L10" s="39">
        <f>((tbl_BA_activities[[#This Row],[Worst]]+tbl_BA_activities[[#This Row],[ML]]+tbl_BA_activities[[#This Row],[Best]])/3)</f>
        <v>24</v>
      </c>
      <c r="M10" s="39">
        <f>((((tbl_BA_activities[[#This Row],[Worst]])- tbl_BA_activities[[#This Row],[Mean (of the number set)]])^2 +((tbl_BA_activities[[#This Row],[ML]])- tbl_BA_activities[[#This Row],[Mean (of the number set)]])^2+((tbl_BA_activities[[#This Row],[Best]])- tbl_BA_activities[[#This Row],[Mean (of the number set)]])^2)/3)</f>
        <v>204.66666666666666</v>
      </c>
      <c r="N10" s="39">
        <f>(((tbl_BA_activities[[#This Row],[Worst]])- tbl_BA_activities[[#This Row],[Mean (of the number set)]])^2 +((tbl_BA_activities[[#This Row],[ML]])- tbl_BA_activities[[#This Row],[Mean (of the number set)]])^2+((tbl_BA_activities[[#This Row],[Best]])- tbl_BA_activities[[#This Row],[Mean (of the number set)]])^2)</f>
        <v>614</v>
      </c>
      <c r="O10" s="39">
        <f>SQRT(tbl_BA_activities[[#This Row],[Variance (of the number set)]])</f>
        <v>14.30617582258329</v>
      </c>
      <c r="P10" s="39">
        <f>IF(tbl_BA_activities[[#This Row],[ML]]=0,"",(tbl_BA_activities[[#This Row],[ML]]-tbl_BA_activities[[#This Row],[Mean (of the number set)]])/tbl_BA_activities[[#This Row],[sigma]])</f>
        <v>-6.9899881869299463E-2</v>
      </c>
      <c r="Q10" s="40">
        <v>0.68153475257111951</v>
      </c>
      <c r="R10" s="33" t="s">
        <v>189</v>
      </c>
      <c r="S10" s="33" t="s">
        <v>190</v>
      </c>
      <c r="T10" s="61">
        <f>IF(tbl_BA_activities[[#This Row],[Efficiency Adjustment]]="Efficient",0.8,IF(tbl_BA_activities[[#This Row],[Efficiency Adjustment]]="Average",0.7,IF(tbl_BA_activities[[#This Row],[Efficiency Adjustment]]="Inefficient",0.6,0)))</f>
        <v>0.7</v>
      </c>
      <c r="U10" s="61">
        <f>IF(tbl_BA_activities[[#This Row],[Proficiency Adjustment]]="Experienced",0.85,IF(tbl_BA_activities[[#This Row],[Proficiency Adjustment]]="Average",1,IF(tbl_BA_activities[[#This Row],[Proficiency Adjustment]]="Inexperienced",1.24,0)))</f>
        <v>1.24</v>
      </c>
      <c r="V10" s="25">
        <f>IF(OR(tbl_BA_activities[[#This Row],[Mean (of the number set)]]=0,tbl_BA_activities[[#This Row],[X]]=0,4=0),0,(tbl_BA_activities[[#This Row],[Mean (of the number set)]]/tbl_BA_activities[[#This Row],[X]])*tbl_BA_activities[[#This Row],[Y]])</f>
        <v>42.514285714285712</v>
      </c>
      <c r="W10" s="25">
        <f>IF(OR(tbl_BA_activities[[#This Row],[Mean (of the number set)]]=0,tbl_BA_activities[[#This Row],[X]]=0,4=0),0,tbl_BA_activities[[#This Row],[Adjusted Effort Hours]]/tbl_BA_activities[[#This Row],[Availability]])</f>
        <v>62.380216935231431</v>
      </c>
      <c r="X10" s="37">
        <f>tbl_BA_activities[[#This Row],[Adjusted Duration in Hours]]-2*tbl_BA_activities[[#This Row],[sigma]]</f>
        <v>33.767865290064847</v>
      </c>
      <c r="Y10" s="37">
        <f>tbl_BA_activities[[#This Row],[Adjusted Duration in Hours]]-1*tbl_BA_activities[[#This Row],[sigma]]</f>
        <v>48.074041112648139</v>
      </c>
      <c r="Z10" s="37">
        <f>tbl_BA_activities[[#This Row],[Adjusted Duration in Hours]]-0*tbl_BA_activities[[#This Row],[sigma]]</f>
        <v>62.380216935231431</v>
      </c>
      <c r="AA10" s="37">
        <f>tbl_BA_activities[[#This Row],[Adjusted Duration in Hours]]+1*tbl_BA_activities[[#This Row],[sigma]]</f>
        <v>76.686392757814716</v>
      </c>
      <c r="AB10" s="37">
        <f>tbl_BA_activities[[#This Row],[Adjusted Duration in Hours]]+2*tbl_BA_activities[[#This Row],[sigma]]</f>
        <v>90.992568580398014</v>
      </c>
      <c r="AC10" s="33" t="s">
        <v>191</v>
      </c>
      <c r="AD10" s="33" t="s">
        <v>186</v>
      </c>
      <c r="AE10" s="41"/>
      <c r="AF10" s="41"/>
      <c r="AG10" s="42">
        <v>0</v>
      </c>
      <c r="AH10" s="41"/>
      <c r="AI10" s="37" t="str">
        <f ca="1">IF(ISBLANK(tbl_BA_activities[[#This Row],[Due Date]]),"",IF(TODAY()&gt;tbl_BA_activities[[#This Row],[Due Date]],TODAY()-tbl_BA_activities[[#This Row],[Due Date]],0))</f>
        <v/>
      </c>
    </row>
    <row r="11" spans="2:35" ht="50.1" customHeight="1" x14ac:dyDescent="0.2">
      <c r="B11" s="33" t="s">
        <v>202</v>
      </c>
      <c r="C11" s="3" t="s">
        <v>203</v>
      </c>
      <c r="D11" s="24" t="s">
        <v>268</v>
      </c>
      <c r="E11" s="24" t="s">
        <v>268</v>
      </c>
      <c r="F11" s="24" t="s">
        <v>268</v>
      </c>
      <c r="G11" s="24" t="s">
        <v>268</v>
      </c>
      <c r="H11" s="24" t="s">
        <v>268</v>
      </c>
      <c r="I11" s="37">
        <v>41</v>
      </c>
      <c r="J11" s="37">
        <v>22</v>
      </c>
      <c r="K11" s="37">
        <v>37</v>
      </c>
      <c r="L11" s="39">
        <f>((tbl_BA_activities[[#This Row],[Worst]]+tbl_BA_activities[[#This Row],[ML]]+tbl_BA_activities[[#This Row],[Best]])/3)</f>
        <v>33.333333333333336</v>
      </c>
      <c r="M11" s="39">
        <f>((((tbl_BA_activities[[#This Row],[Worst]])- tbl_BA_activities[[#This Row],[Mean (of the number set)]])^2 +((tbl_BA_activities[[#This Row],[ML]])- tbl_BA_activities[[#This Row],[Mean (of the number set)]])^2+((tbl_BA_activities[[#This Row],[Best]])- tbl_BA_activities[[#This Row],[Mean (of the number set)]])^2)/3)</f>
        <v>66.888888888888886</v>
      </c>
      <c r="N11" s="39">
        <f>(((tbl_BA_activities[[#This Row],[Worst]])- tbl_BA_activities[[#This Row],[Mean (of the number set)]])^2 +((tbl_BA_activities[[#This Row],[ML]])- tbl_BA_activities[[#This Row],[Mean (of the number set)]])^2+((tbl_BA_activities[[#This Row],[Best]])- tbl_BA_activities[[#This Row],[Mean (of the number set)]])^2)</f>
        <v>200.66666666666666</v>
      </c>
      <c r="O11" s="39">
        <f>SQRT(tbl_BA_activities[[#This Row],[Variance (of the number set)]])</f>
        <v>8.1785627642568652</v>
      </c>
      <c r="P11" s="39">
        <f>IF(tbl_BA_activities[[#This Row],[ML]]=0,"",(tbl_BA_activities[[#This Row],[ML]]-tbl_BA_activities[[#This Row],[Mean (of the number set)]])/tbl_BA_activities[[#This Row],[sigma]])</f>
        <v>-1.3857365480966783</v>
      </c>
      <c r="Q11" s="40">
        <v>0.65307976009831514</v>
      </c>
      <c r="R11" s="33" t="s">
        <v>189</v>
      </c>
      <c r="S11" s="33" t="s">
        <v>184</v>
      </c>
      <c r="T11" s="61">
        <f>IF(tbl_BA_activities[[#This Row],[Efficiency Adjustment]]="Efficient",0.8,IF(tbl_BA_activities[[#This Row],[Efficiency Adjustment]]="Average",0.7,IF(tbl_BA_activities[[#This Row],[Efficiency Adjustment]]="Inefficient",0.6,0)))</f>
        <v>0.7</v>
      </c>
      <c r="U11" s="61">
        <f>IF(tbl_BA_activities[[#This Row],[Proficiency Adjustment]]="Experienced",0.85,IF(tbl_BA_activities[[#This Row],[Proficiency Adjustment]]="Average",1,IF(tbl_BA_activities[[#This Row],[Proficiency Adjustment]]="Inexperienced",1.24,0)))</f>
        <v>0.85</v>
      </c>
      <c r="V11" s="25">
        <f>IF(OR(tbl_BA_activities[[#This Row],[Mean (of the number set)]]=0,tbl_BA_activities[[#This Row],[X]]=0,4=0),0,(tbl_BA_activities[[#This Row],[Mean (of the number set)]]/tbl_BA_activities[[#This Row],[X]])*tbl_BA_activities[[#This Row],[Y]])</f>
        <v>40.476190476190482</v>
      </c>
      <c r="W11" s="25">
        <f>IF(OR(tbl_BA_activities[[#This Row],[Mean (of the number set)]]=0,tbl_BA_activities[[#This Row],[X]]=0,4=0),0,tbl_BA_activities[[#This Row],[Adjusted Effort Hours]]/tbl_BA_activities[[#This Row],[Availability]])</f>
        <v>61.977407583565544</v>
      </c>
      <c r="X11" s="37">
        <f>tbl_BA_activities[[#This Row],[Adjusted Duration in Hours]]-2*tbl_BA_activities[[#This Row],[sigma]]</f>
        <v>45.620282055051817</v>
      </c>
      <c r="Y11" s="37">
        <f>tbl_BA_activities[[#This Row],[Adjusted Duration in Hours]]-1*tbl_BA_activities[[#This Row],[sigma]]</f>
        <v>53.798844819308677</v>
      </c>
      <c r="Z11" s="37">
        <f>tbl_BA_activities[[#This Row],[Adjusted Duration in Hours]]-0*tbl_BA_activities[[#This Row],[sigma]]</f>
        <v>61.977407583565544</v>
      </c>
      <c r="AA11" s="37">
        <f>tbl_BA_activities[[#This Row],[Adjusted Duration in Hours]]+1*tbl_BA_activities[[#This Row],[sigma]]</f>
        <v>70.155970347822404</v>
      </c>
      <c r="AB11" s="37">
        <f>tbl_BA_activities[[#This Row],[Adjusted Duration in Hours]]+2*tbl_BA_activities[[#This Row],[sigma]]</f>
        <v>78.334533112079271</v>
      </c>
      <c r="AC11" s="33" t="s">
        <v>185</v>
      </c>
      <c r="AD11" s="33" t="s">
        <v>186</v>
      </c>
      <c r="AE11" s="41"/>
      <c r="AF11" s="41"/>
      <c r="AG11" s="42">
        <v>0</v>
      </c>
      <c r="AH11" s="41"/>
      <c r="AI11" s="37" t="str">
        <f ca="1">IF(ISBLANK(tbl_BA_activities[[#This Row],[Due Date]]),"",IF(TODAY()&gt;tbl_BA_activities[[#This Row],[Due Date]],TODAY()-tbl_BA_activities[[#This Row],[Due Date]],0))</f>
        <v/>
      </c>
    </row>
    <row r="12" spans="2:35" ht="50.1" customHeight="1" x14ac:dyDescent="0.2">
      <c r="B12" s="33" t="s">
        <v>204</v>
      </c>
      <c r="C12" s="3" t="s">
        <v>205</v>
      </c>
      <c r="D12" s="24" t="s">
        <v>268</v>
      </c>
      <c r="E12" s="24" t="s">
        <v>268</v>
      </c>
      <c r="F12" s="24" t="s">
        <v>268</v>
      </c>
      <c r="G12" s="24" t="s">
        <v>268</v>
      </c>
      <c r="H12" s="24" t="s">
        <v>268</v>
      </c>
      <c r="I12" s="37">
        <v>22</v>
      </c>
      <c r="J12" s="37">
        <v>28</v>
      </c>
      <c r="K12" s="37">
        <v>6</v>
      </c>
      <c r="L12" s="39">
        <f>((tbl_BA_activities[[#This Row],[Worst]]+tbl_BA_activities[[#This Row],[ML]]+tbl_BA_activities[[#This Row],[Best]])/3)</f>
        <v>18.666666666666668</v>
      </c>
      <c r="M12" s="39">
        <f>((((tbl_BA_activities[[#This Row],[Worst]])- tbl_BA_activities[[#This Row],[Mean (of the number set)]])^2 +((tbl_BA_activities[[#This Row],[ML]])- tbl_BA_activities[[#This Row],[Mean (of the number set)]])^2+((tbl_BA_activities[[#This Row],[Best]])- tbl_BA_activities[[#This Row],[Mean (of the number set)]])^2)/3)</f>
        <v>86.222222222222229</v>
      </c>
      <c r="N12" s="39">
        <f>(((tbl_BA_activities[[#This Row],[Worst]])- tbl_BA_activities[[#This Row],[Mean (of the number set)]])^2 +((tbl_BA_activities[[#This Row],[ML]])- tbl_BA_activities[[#This Row],[Mean (of the number set)]])^2+((tbl_BA_activities[[#This Row],[Best]])- tbl_BA_activities[[#This Row],[Mean (of the number set)]])^2)</f>
        <v>258.66666666666669</v>
      </c>
      <c r="O12" s="39">
        <f>SQRT(tbl_BA_activities[[#This Row],[Variance (of the number set)]])</f>
        <v>9.2855921847894134</v>
      </c>
      <c r="P12" s="39">
        <f>IF(tbl_BA_activities[[#This Row],[ML]]=0,"",(tbl_BA_activities[[#This Row],[ML]]-tbl_BA_activities[[#This Row],[Mean (of the number set)]])/tbl_BA_activities[[#This Row],[sigma]])</f>
        <v>1.0051414220648331</v>
      </c>
      <c r="Q12" s="40">
        <v>0.5</v>
      </c>
      <c r="R12" s="33" t="s">
        <v>183</v>
      </c>
      <c r="S12" s="33" t="s">
        <v>184</v>
      </c>
      <c r="T12" s="61">
        <f>IF(tbl_BA_activities[[#This Row],[Efficiency Adjustment]]="Efficient",0.8,IF(tbl_BA_activities[[#This Row],[Efficiency Adjustment]]="Average",0.7,IF(tbl_BA_activities[[#This Row],[Efficiency Adjustment]]="Inefficient",0.6,0)))</f>
        <v>0.8</v>
      </c>
      <c r="U12" s="61">
        <f>IF(tbl_BA_activities[[#This Row],[Proficiency Adjustment]]="Experienced",0.85,IF(tbl_BA_activities[[#This Row],[Proficiency Adjustment]]="Average",1,IF(tbl_BA_activities[[#This Row],[Proficiency Adjustment]]="Inexperienced",1.24,0)))</f>
        <v>0.85</v>
      </c>
      <c r="V12" s="25">
        <f>IF(OR(tbl_BA_activities[[#This Row],[Mean (of the number set)]]=0,tbl_BA_activities[[#This Row],[X]]=0,4=0),0,(tbl_BA_activities[[#This Row],[Mean (of the number set)]]/tbl_BA_activities[[#This Row],[X]])*tbl_BA_activities[[#This Row],[Y]])</f>
        <v>19.833333333333332</v>
      </c>
      <c r="W12" s="25">
        <f>IF(OR(tbl_BA_activities[[#This Row],[Mean (of the number set)]]=0,tbl_BA_activities[[#This Row],[X]]=0,4=0),0,tbl_BA_activities[[#This Row],[Adjusted Effort Hours]]/tbl_BA_activities[[#This Row],[Availability]])</f>
        <v>39.666666666666664</v>
      </c>
      <c r="X12" s="37">
        <f>tbl_BA_activities[[#This Row],[Adjusted Duration in Hours]]-2*tbl_BA_activities[[#This Row],[sigma]]</f>
        <v>21.095482297087838</v>
      </c>
      <c r="Y12" s="37">
        <f>tbl_BA_activities[[#This Row],[Adjusted Duration in Hours]]-1*tbl_BA_activities[[#This Row],[sigma]]</f>
        <v>30.381074481877249</v>
      </c>
      <c r="Z12" s="37">
        <f>tbl_BA_activities[[#This Row],[Adjusted Duration in Hours]]-0*tbl_BA_activities[[#This Row],[sigma]]</f>
        <v>39.666666666666664</v>
      </c>
      <c r="AA12" s="37">
        <f>tbl_BA_activities[[#This Row],[Adjusted Duration in Hours]]+1*tbl_BA_activities[[#This Row],[sigma]]</f>
        <v>48.952258851456079</v>
      </c>
      <c r="AB12" s="37">
        <f>tbl_BA_activities[[#This Row],[Adjusted Duration in Hours]]+2*tbl_BA_activities[[#This Row],[sigma]]</f>
        <v>58.237851036245488</v>
      </c>
      <c r="AC12" s="33" t="s">
        <v>191</v>
      </c>
      <c r="AD12" s="33" t="s">
        <v>186</v>
      </c>
      <c r="AE12" s="41"/>
      <c r="AF12" s="41"/>
      <c r="AG12" s="42">
        <v>0</v>
      </c>
      <c r="AH12" s="41"/>
      <c r="AI12" s="37" t="str">
        <f ca="1">IF(ISBLANK(tbl_BA_activities[[#This Row],[Due Date]]),"",IF(TODAY()&gt;tbl_BA_activities[[#This Row],[Due Date]],TODAY()-tbl_BA_activities[[#This Row],[Due Date]],0))</f>
        <v/>
      </c>
    </row>
    <row r="13" spans="2:35" ht="50.1" customHeight="1" x14ac:dyDescent="0.2">
      <c r="B13" s="33" t="s">
        <v>206</v>
      </c>
      <c r="C13" s="3" t="s">
        <v>207</v>
      </c>
      <c r="D13" s="24" t="s">
        <v>268</v>
      </c>
      <c r="E13" s="24" t="s">
        <v>268</v>
      </c>
      <c r="F13" s="24" t="s">
        <v>268</v>
      </c>
      <c r="G13" s="24" t="s">
        <v>268</v>
      </c>
      <c r="H13" s="24" t="s">
        <v>268</v>
      </c>
      <c r="I13" s="37">
        <v>54</v>
      </c>
      <c r="J13" s="37">
        <v>23</v>
      </c>
      <c r="K13" s="37">
        <v>5</v>
      </c>
      <c r="L13" s="39">
        <f>((tbl_BA_activities[[#This Row],[Worst]]+tbl_BA_activities[[#This Row],[ML]]+tbl_BA_activities[[#This Row],[Best]])/3)</f>
        <v>27.333333333333332</v>
      </c>
      <c r="M13" s="39">
        <f>((((tbl_BA_activities[[#This Row],[Worst]])- tbl_BA_activities[[#This Row],[Mean (of the number set)]])^2 +((tbl_BA_activities[[#This Row],[ML]])- tbl_BA_activities[[#This Row],[Mean (of the number set)]])^2+((tbl_BA_activities[[#This Row],[Best]])- tbl_BA_activities[[#This Row],[Mean (of the number set)]])^2)/3)</f>
        <v>409.55555555555549</v>
      </c>
      <c r="N13" s="39">
        <f>(((tbl_BA_activities[[#This Row],[Worst]])- tbl_BA_activities[[#This Row],[Mean (of the number set)]])^2 +((tbl_BA_activities[[#This Row],[ML]])- tbl_BA_activities[[#This Row],[Mean (of the number set)]])^2+((tbl_BA_activities[[#This Row],[Best]])- tbl_BA_activities[[#This Row],[Mean (of the number set)]])^2)</f>
        <v>1228.6666666666665</v>
      </c>
      <c r="O13" s="39">
        <f>SQRT(tbl_BA_activities[[#This Row],[Variance (of the number set)]])</f>
        <v>20.23747898221405</v>
      </c>
      <c r="P13" s="39">
        <f>IF(tbl_BA_activities[[#This Row],[ML]]=0,"",(tbl_BA_activities[[#This Row],[ML]]-tbl_BA_activities[[#This Row],[Mean (of the number set)]])/tbl_BA_activities[[#This Row],[sigma]])</f>
        <v>-0.21412416720193922</v>
      </c>
      <c r="Q13" s="40">
        <v>0.69520107907100193</v>
      </c>
      <c r="R13" s="33" t="s">
        <v>197</v>
      </c>
      <c r="S13" s="33" t="s">
        <v>189</v>
      </c>
      <c r="T13" s="61">
        <f>IF(tbl_BA_activities[[#This Row],[Efficiency Adjustment]]="Efficient",0.8,IF(tbl_BA_activities[[#This Row],[Efficiency Adjustment]]="Average",0.7,IF(tbl_BA_activities[[#This Row],[Efficiency Adjustment]]="Inefficient",0.6,0)))</f>
        <v>0.6</v>
      </c>
      <c r="U13" s="61">
        <f>IF(tbl_BA_activities[[#This Row],[Proficiency Adjustment]]="Experienced",0.85,IF(tbl_BA_activities[[#This Row],[Proficiency Adjustment]]="Average",1,IF(tbl_BA_activities[[#This Row],[Proficiency Adjustment]]="Inexperienced",1.24,0)))</f>
        <v>1</v>
      </c>
      <c r="V13" s="25">
        <f>IF(OR(tbl_BA_activities[[#This Row],[Mean (of the number set)]]=0,tbl_BA_activities[[#This Row],[X]]=0,4=0),0,(tbl_BA_activities[[#This Row],[Mean (of the number set)]]/tbl_BA_activities[[#This Row],[X]])*tbl_BA_activities[[#This Row],[Y]])</f>
        <v>45.555555555555557</v>
      </c>
      <c r="W13" s="25">
        <f>IF(OR(tbl_BA_activities[[#This Row],[Mean (of the number set)]]=0,tbl_BA_activities[[#This Row],[X]]=0,4=0),0,tbl_BA_activities[[#This Row],[Adjusted Effort Hours]]/tbl_BA_activities[[#This Row],[Availability]])</f>
        <v>65.528603057451377</v>
      </c>
      <c r="X13" s="37">
        <f>tbl_BA_activities[[#This Row],[Adjusted Duration in Hours]]-2*tbl_BA_activities[[#This Row],[sigma]]</f>
        <v>25.053645093023277</v>
      </c>
      <c r="Y13" s="37">
        <f>tbl_BA_activities[[#This Row],[Adjusted Duration in Hours]]-1*tbl_BA_activities[[#This Row],[sigma]]</f>
        <v>45.291124075237327</v>
      </c>
      <c r="Z13" s="37">
        <f>tbl_BA_activities[[#This Row],[Adjusted Duration in Hours]]-0*tbl_BA_activities[[#This Row],[sigma]]</f>
        <v>65.528603057451377</v>
      </c>
      <c r="AA13" s="37">
        <f>tbl_BA_activities[[#This Row],[Adjusted Duration in Hours]]+1*tbl_BA_activities[[#This Row],[sigma]]</f>
        <v>85.766082039665434</v>
      </c>
      <c r="AB13" s="37">
        <f>tbl_BA_activities[[#This Row],[Adjusted Duration in Hours]]+2*tbl_BA_activities[[#This Row],[sigma]]</f>
        <v>106.00356102187948</v>
      </c>
      <c r="AC13" s="33" t="s">
        <v>194</v>
      </c>
      <c r="AD13" s="33" t="s">
        <v>186</v>
      </c>
      <c r="AE13" s="41"/>
      <c r="AF13" s="41"/>
      <c r="AG13" s="42">
        <v>0</v>
      </c>
      <c r="AH13" s="41"/>
      <c r="AI13" s="37" t="str">
        <f ca="1">IF(ISBLANK(tbl_BA_activities[[#This Row],[Due Date]]),"",IF(TODAY()&gt;tbl_BA_activities[[#This Row],[Due Date]],TODAY()-tbl_BA_activities[[#This Row],[Due Date]],0))</f>
        <v/>
      </c>
    </row>
    <row r="14" spans="2:35" ht="50.1" customHeight="1" x14ac:dyDescent="0.2">
      <c r="B14" s="33" t="s">
        <v>208</v>
      </c>
      <c r="C14" s="3" t="s">
        <v>209</v>
      </c>
      <c r="D14" s="24" t="s">
        <v>268</v>
      </c>
      <c r="E14" s="24" t="s">
        <v>268</v>
      </c>
      <c r="F14" s="24" t="s">
        <v>268</v>
      </c>
      <c r="G14" s="24" t="s">
        <v>268</v>
      </c>
      <c r="H14" s="24" t="s">
        <v>268</v>
      </c>
      <c r="I14" s="37">
        <v>64</v>
      </c>
      <c r="J14" s="37">
        <v>22</v>
      </c>
      <c r="K14" s="37">
        <v>18</v>
      </c>
      <c r="L14" s="39">
        <f>((tbl_BA_activities[[#This Row],[Worst]]+tbl_BA_activities[[#This Row],[ML]]+tbl_BA_activities[[#This Row],[Best]])/3)</f>
        <v>34.666666666666664</v>
      </c>
      <c r="M14" s="39">
        <f>((((tbl_BA_activities[[#This Row],[Worst]])- tbl_BA_activities[[#This Row],[Mean (of the number set)]])^2 +((tbl_BA_activities[[#This Row],[ML]])- tbl_BA_activities[[#This Row],[Mean (of the number set)]])^2+((tbl_BA_activities[[#This Row],[Best]])- tbl_BA_activities[[#This Row],[Mean (of the number set)]])^2)/3)</f>
        <v>432.88888888888886</v>
      </c>
      <c r="N14" s="39">
        <f>(((tbl_BA_activities[[#This Row],[Worst]])- tbl_BA_activities[[#This Row],[Mean (of the number set)]])^2 +((tbl_BA_activities[[#This Row],[ML]])- tbl_BA_activities[[#This Row],[Mean (of the number set)]])^2+((tbl_BA_activities[[#This Row],[Best]])- tbl_BA_activities[[#This Row],[Mean (of the number set)]])^2)</f>
        <v>1298.6666666666665</v>
      </c>
      <c r="O14" s="39">
        <f>SQRT(tbl_BA_activities[[#This Row],[Variance (of the number set)]])</f>
        <v>20.805982045769646</v>
      </c>
      <c r="P14" s="39">
        <f>IF(tbl_BA_activities[[#This Row],[ML]]=0,"",(tbl_BA_activities[[#This Row],[ML]]-tbl_BA_activities[[#This Row],[Mean (of the number set)]])/tbl_BA_activities[[#This Row],[sigma]])</f>
        <v>-0.60879926930640127</v>
      </c>
      <c r="Q14" s="40">
        <v>0.2953458110434527</v>
      </c>
      <c r="R14" s="33" t="s">
        <v>183</v>
      </c>
      <c r="S14" s="33" t="s">
        <v>189</v>
      </c>
      <c r="T14" s="61">
        <f>IF(tbl_BA_activities[[#This Row],[Efficiency Adjustment]]="Efficient",0.8,IF(tbl_BA_activities[[#This Row],[Efficiency Adjustment]]="Average",0.7,IF(tbl_BA_activities[[#This Row],[Efficiency Adjustment]]="Inefficient",0.6,0)))</f>
        <v>0.8</v>
      </c>
      <c r="U14" s="61">
        <f>IF(tbl_BA_activities[[#This Row],[Proficiency Adjustment]]="Experienced",0.85,IF(tbl_BA_activities[[#This Row],[Proficiency Adjustment]]="Average",1,IF(tbl_BA_activities[[#This Row],[Proficiency Adjustment]]="Inexperienced",1.24,0)))</f>
        <v>1</v>
      </c>
      <c r="V14" s="25">
        <f>IF(OR(tbl_BA_activities[[#This Row],[Mean (of the number set)]]=0,tbl_BA_activities[[#This Row],[X]]=0,4=0),0,(tbl_BA_activities[[#This Row],[Mean (of the number set)]]/tbl_BA_activities[[#This Row],[X]])*tbl_BA_activities[[#This Row],[Y]])</f>
        <v>43.333333333333329</v>
      </c>
      <c r="W14" s="25">
        <f>IF(OR(tbl_BA_activities[[#This Row],[Mean (of the number set)]]=0,tbl_BA_activities[[#This Row],[X]]=0,4=0),0,tbl_BA_activities[[#This Row],[Adjusted Effort Hours]]/tbl_BA_activities[[#This Row],[Availability]])</f>
        <v>146.72066341566605</v>
      </c>
      <c r="X14" s="37">
        <f>tbl_BA_activities[[#This Row],[Adjusted Duration in Hours]]-2*tbl_BA_activities[[#This Row],[sigma]]</f>
        <v>105.10869932412676</v>
      </c>
      <c r="Y14" s="37">
        <f>tbl_BA_activities[[#This Row],[Adjusted Duration in Hours]]-1*tbl_BA_activities[[#This Row],[sigma]]</f>
        <v>125.91468136989641</v>
      </c>
      <c r="Z14" s="37">
        <f>tbl_BA_activities[[#This Row],[Adjusted Duration in Hours]]-0*tbl_BA_activities[[#This Row],[sigma]]</f>
        <v>146.72066341566605</v>
      </c>
      <c r="AA14" s="37">
        <f>tbl_BA_activities[[#This Row],[Adjusted Duration in Hours]]+1*tbl_BA_activities[[#This Row],[sigma]]</f>
        <v>167.52664546143569</v>
      </c>
      <c r="AB14" s="37">
        <f>tbl_BA_activities[[#This Row],[Adjusted Duration in Hours]]+2*tbl_BA_activities[[#This Row],[sigma]]</f>
        <v>188.33262750720536</v>
      </c>
      <c r="AC14" s="33" t="s">
        <v>185</v>
      </c>
      <c r="AD14" s="33" t="s">
        <v>186</v>
      </c>
      <c r="AE14" s="41"/>
      <c r="AF14" s="41"/>
      <c r="AG14" s="42">
        <v>0</v>
      </c>
      <c r="AH14" s="41"/>
      <c r="AI14" s="37" t="str">
        <f ca="1">IF(ISBLANK(tbl_BA_activities[[#This Row],[Due Date]]),"",IF(TODAY()&gt;tbl_BA_activities[[#This Row],[Due Date]],TODAY()-tbl_BA_activities[[#This Row],[Due Date]],0))</f>
        <v/>
      </c>
    </row>
    <row r="15" spans="2:35" ht="50.1" customHeight="1" x14ac:dyDescent="0.2">
      <c r="B15" s="33" t="s">
        <v>210</v>
      </c>
      <c r="C15" s="3" t="s">
        <v>211</v>
      </c>
      <c r="D15" s="24" t="s">
        <v>268</v>
      </c>
      <c r="E15" s="24" t="s">
        <v>268</v>
      </c>
      <c r="F15" s="24" t="s">
        <v>268</v>
      </c>
      <c r="G15" s="24" t="s">
        <v>268</v>
      </c>
      <c r="H15" s="24" t="s">
        <v>268</v>
      </c>
      <c r="I15" s="37">
        <v>41</v>
      </c>
      <c r="J15" s="37">
        <v>24</v>
      </c>
      <c r="K15" s="37">
        <v>16</v>
      </c>
      <c r="L15" s="39">
        <f>((tbl_BA_activities[[#This Row],[Worst]]+tbl_BA_activities[[#This Row],[ML]]+tbl_BA_activities[[#This Row],[Best]])/3)</f>
        <v>27</v>
      </c>
      <c r="M15" s="39">
        <f>((((tbl_BA_activities[[#This Row],[Worst]])- tbl_BA_activities[[#This Row],[Mean (of the number set)]])^2 +((tbl_BA_activities[[#This Row],[ML]])- tbl_BA_activities[[#This Row],[Mean (of the number set)]])^2+((tbl_BA_activities[[#This Row],[Best]])- tbl_BA_activities[[#This Row],[Mean (of the number set)]])^2)/3)</f>
        <v>108.66666666666667</v>
      </c>
      <c r="N15" s="39">
        <f>(((tbl_BA_activities[[#This Row],[Worst]])- tbl_BA_activities[[#This Row],[Mean (of the number set)]])^2 +((tbl_BA_activities[[#This Row],[ML]])- tbl_BA_activities[[#This Row],[Mean (of the number set)]])^2+((tbl_BA_activities[[#This Row],[Best]])- tbl_BA_activities[[#This Row],[Mean (of the number set)]])^2)</f>
        <v>326</v>
      </c>
      <c r="O15" s="39">
        <f>SQRT(tbl_BA_activities[[#This Row],[Variance (of the number set)]])</f>
        <v>10.424330514074594</v>
      </c>
      <c r="P15" s="39">
        <f>IF(tbl_BA_activities[[#This Row],[ML]]=0,"",(tbl_BA_activities[[#This Row],[ML]]-tbl_BA_activities[[#This Row],[Mean (of the number set)]])/tbl_BA_activities[[#This Row],[sigma]])</f>
        <v>-0.28778826572598565</v>
      </c>
      <c r="Q15" s="40">
        <v>0.49102534207322956</v>
      </c>
      <c r="R15" s="33" t="s">
        <v>189</v>
      </c>
      <c r="S15" s="33" t="s">
        <v>189</v>
      </c>
      <c r="T15" s="61">
        <f>IF(tbl_BA_activities[[#This Row],[Efficiency Adjustment]]="Efficient",0.8,IF(tbl_BA_activities[[#This Row],[Efficiency Adjustment]]="Average",0.7,IF(tbl_BA_activities[[#This Row],[Efficiency Adjustment]]="Inefficient",0.6,0)))</f>
        <v>0.7</v>
      </c>
      <c r="U15" s="61">
        <f>IF(tbl_BA_activities[[#This Row],[Proficiency Adjustment]]="Experienced",0.85,IF(tbl_BA_activities[[#This Row],[Proficiency Adjustment]]="Average",1,IF(tbl_BA_activities[[#This Row],[Proficiency Adjustment]]="Inexperienced",1.24,0)))</f>
        <v>1</v>
      </c>
      <c r="V15" s="25">
        <f>IF(OR(tbl_BA_activities[[#This Row],[Mean (of the number set)]]=0,tbl_BA_activities[[#This Row],[X]]=0,4=0),0,(tbl_BA_activities[[#This Row],[Mean (of the number set)]]/tbl_BA_activities[[#This Row],[X]])*tbl_BA_activities[[#This Row],[Y]])</f>
        <v>38.571428571428577</v>
      </c>
      <c r="W15" s="25">
        <f>IF(OR(tbl_BA_activities[[#This Row],[Mean (of the number set)]]=0,tbl_BA_activities[[#This Row],[X]]=0,4=0),0,tbl_BA_activities[[#This Row],[Adjusted Effort Hours]]/tbl_BA_activities[[#This Row],[Availability]])</f>
        <v>78.552826639396116</v>
      </c>
      <c r="X15" s="37">
        <f>tbl_BA_activities[[#This Row],[Adjusted Duration in Hours]]-2*tbl_BA_activities[[#This Row],[sigma]]</f>
        <v>57.704165611246928</v>
      </c>
      <c r="Y15" s="37">
        <f>tbl_BA_activities[[#This Row],[Adjusted Duration in Hours]]-1*tbl_BA_activities[[#This Row],[sigma]]</f>
        <v>68.128496125321519</v>
      </c>
      <c r="Z15" s="37">
        <f>tbl_BA_activities[[#This Row],[Adjusted Duration in Hours]]-0*tbl_BA_activities[[#This Row],[sigma]]</f>
        <v>78.552826639396116</v>
      </c>
      <c r="AA15" s="37">
        <f>tbl_BA_activities[[#This Row],[Adjusted Duration in Hours]]+1*tbl_BA_activities[[#This Row],[sigma]]</f>
        <v>88.977157153470714</v>
      </c>
      <c r="AB15" s="37">
        <f>tbl_BA_activities[[#This Row],[Adjusted Duration in Hours]]+2*tbl_BA_activities[[#This Row],[sigma]]</f>
        <v>99.401487667545297</v>
      </c>
      <c r="AC15" s="33" t="s">
        <v>185</v>
      </c>
      <c r="AD15" s="33" t="s">
        <v>186</v>
      </c>
      <c r="AE15" s="41"/>
      <c r="AF15" s="41"/>
      <c r="AG15" s="42">
        <v>0</v>
      </c>
      <c r="AH15" s="41"/>
      <c r="AI15" s="37" t="str">
        <f ca="1">IF(ISBLANK(tbl_BA_activities[[#This Row],[Due Date]]),"",IF(TODAY()&gt;tbl_BA_activities[[#This Row],[Due Date]],TODAY()-tbl_BA_activities[[#This Row],[Due Date]],0))</f>
        <v/>
      </c>
    </row>
    <row r="16" spans="2:35" ht="50.1" customHeight="1" x14ac:dyDescent="0.2">
      <c r="B16" s="33" t="s">
        <v>212</v>
      </c>
      <c r="C16" s="3" t="s">
        <v>213</v>
      </c>
      <c r="D16" s="24" t="s">
        <v>268</v>
      </c>
      <c r="E16" s="24" t="s">
        <v>268</v>
      </c>
      <c r="F16" s="24" t="s">
        <v>268</v>
      </c>
      <c r="G16" s="24" t="s">
        <v>268</v>
      </c>
      <c r="H16" s="24" t="s">
        <v>268</v>
      </c>
      <c r="I16" s="37">
        <v>66</v>
      </c>
      <c r="J16" s="37">
        <v>28</v>
      </c>
      <c r="K16" s="37">
        <v>33</v>
      </c>
      <c r="L16" s="39">
        <f>((tbl_BA_activities[[#This Row],[Worst]]+tbl_BA_activities[[#This Row],[ML]]+tbl_BA_activities[[#This Row],[Best]])/3)</f>
        <v>42.333333333333336</v>
      </c>
      <c r="M16" s="39">
        <f>((((tbl_BA_activities[[#This Row],[Worst]])- tbl_BA_activities[[#This Row],[Mean (of the number set)]])^2 +((tbl_BA_activities[[#This Row],[ML]])- tbl_BA_activities[[#This Row],[Mean (of the number set)]])^2+((tbl_BA_activities[[#This Row],[Best]])- tbl_BA_activities[[#This Row],[Mean (of the number set)]])^2)/3)</f>
        <v>284.22222222222223</v>
      </c>
      <c r="N16" s="39">
        <f>(((tbl_BA_activities[[#This Row],[Worst]])- tbl_BA_activities[[#This Row],[Mean (of the number set)]])^2 +((tbl_BA_activities[[#This Row],[ML]])- tbl_BA_activities[[#This Row],[Mean (of the number set)]])^2+((tbl_BA_activities[[#This Row],[Best]])- tbl_BA_activities[[#This Row],[Mean (of the number set)]])^2)</f>
        <v>852.66666666666663</v>
      </c>
      <c r="O16" s="39">
        <f>SQRT(tbl_BA_activities[[#This Row],[Variance (of the number set)]])</f>
        <v>16.858891488535722</v>
      </c>
      <c r="P16" s="39">
        <f>IF(tbl_BA_activities[[#This Row],[ML]]=0,"",(tbl_BA_activities[[#This Row],[ML]]-tbl_BA_activities[[#This Row],[Mean (of the number set)]])/tbl_BA_activities[[#This Row],[sigma]])</f>
        <v>-0.85019429320606277</v>
      </c>
      <c r="Q16" s="40">
        <v>0.43523071704820449</v>
      </c>
      <c r="R16" s="33" t="s">
        <v>189</v>
      </c>
      <c r="S16" s="33" t="s">
        <v>184</v>
      </c>
      <c r="T16" s="61">
        <f>IF(tbl_BA_activities[[#This Row],[Efficiency Adjustment]]="Efficient",0.8,IF(tbl_BA_activities[[#This Row],[Efficiency Adjustment]]="Average",0.7,IF(tbl_BA_activities[[#This Row],[Efficiency Adjustment]]="Inefficient",0.6,0)))</f>
        <v>0.7</v>
      </c>
      <c r="U16" s="61">
        <f>IF(tbl_BA_activities[[#This Row],[Proficiency Adjustment]]="Experienced",0.85,IF(tbl_BA_activities[[#This Row],[Proficiency Adjustment]]="Average",1,IF(tbl_BA_activities[[#This Row],[Proficiency Adjustment]]="Inexperienced",1.24,0)))</f>
        <v>0.85</v>
      </c>
      <c r="V16" s="25">
        <f>IF(OR(tbl_BA_activities[[#This Row],[Mean (of the number set)]]=0,tbl_BA_activities[[#This Row],[X]]=0,4=0),0,(tbl_BA_activities[[#This Row],[Mean (of the number set)]]/tbl_BA_activities[[#This Row],[X]])*tbl_BA_activities[[#This Row],[Y]])</f>
        <v>51.404761904761905</v>
      </c>
      <c r="W16" s="25">
        <f>IF(OR(tbl_BA_activities[[#This Row],[Mean (of the number set)]]=0,tbl_BA_activities[[#This Row],[X]]=0,4=0),0,tbl_BA_activities[[#This Row],[Adjusted Effort Hours]]/tbl_BA_activities[[#This Row],[Availability]])</f>
        <v>118.10922320326144</v>
      </c>
      <c r="X16" s="37">
        <f>tbl_BA_activities[[#This Row],[Adjusted Duration in Hours]]-2*tbl_BA_activities[[#This Row],[sigma]]</f>
        <v>84.391440226189985</v>
      </c>
      <c r="Y16" s="37">
        <f>tbl_BA_activities[[#This Row],[Adjusted Duration in Hours]]-1*tbl_BA_activities[[#This Row],[sigma]]</f>
        <v>101.25033171472572</v>
      </c>
      <c r="Z16" s="37">
        <f>tbl_BA_activities[[#This Row],[Adjusted Duration in Hours]]-0*tbl_BA_activities[[#This Row],[sigma]]</f>
        <v>118.10922320326144</v>
      </c>
      <c r="AA16" s="37">
        <f>tbl_BA_activities[[#This Row],[Adjusted Duration in Hours]]+1*tbl_BA_activities[[#This Row],[sigma]]</f>
        <v>134.96811469179715</v>
      </c>
      <c r="AB16" s="37">
        <f>tbl_BA_activities[[#This Row],[Adjusted Duration in Hours]]+2*tbl_BA_activities[[#This Row],[sigma]]</f>
        <v>151.82700618033289</v>
      </c>
      <c r="AC16" s="33" t="s">
        <v>191</v>
      </c>
      <c r="AD16" s="33" t="s">
        <v>186</v>
      </c>
      <c r="AE16" s="41"/>
      <c r="AF16" s="41"/>
      <c r="AG16" s="42">
        <v>0</v>
      </c>
      <c r="AH16" s="41"/>
      <c r="AI16" s="37" t="str">
        <f ca="1">IF(ISBLANK(tbl_BA_activities[[#This Row],[Due Date]]),"",IF(TODAY()&gt;tbl_BA_activities[[#This Row],[Due Date]],TODAY()-tbl_BA_activities[[#This Row],[Due Date]],0))</f>
        <v/>
      </c>
    </row>
    <row r="17" spans="2:35" ht="50.1" customHeight="1" x14ac:dyDescent="0.2">
      <c r="B17" s="33" t="s">
        <v>214</v>
      </c>
      <c r="C17" s="3" t="s">
        <v>215</v>
      </c>
      <c r="D17" s="24" t="s">
        <v>268</v>
      </c>
      <c r="E17" s="24" t="s">
        <v>268</v>
      </c>
      <c r="F17" s="24" t="s">
        <v>268</v>
      </c>
      <c r="G17" s="24" t="s">
        <v>268</v>
      </c>
      <c r="H17" s="24" t="s">
        <v>268</v>
      </c>
      <c r="I17" s="37">
        <v>20</v>
      </c>
      <c r="J17" s="37">
        <v>29</v>
      </c>
      <c r="K17" s="37">
        <v>9</v>
      </c>
      <c r="L17" s="39">
        <f>((tbl_BA_activities[[#This Row],[Worst]]+tbl_BA_activities[[#This Row],[ML]]+tbl_BA_activities[[#This Row],[Best]])/3)</f>
        <v>19.333333333333332</v>
      </c>
      <c r="M17" s="39">
        <f>((((tbl_BA_activities[[#This Row],[Worst]])- tbl_BA_activities[[#This Row],[Mean (of the number set)]])^2 +((tbl_BA_activities[[#This Row],[ML]])- tbl_BA_activities[[#This Row],[Mean (of the number set)]])^2+((tbl_BA_activities[[#This Row],[Best]])- tbl_BA_activities[[#This Row],[Mean (of the number set)]])^2)/3)</f>
        <v>66.8888888888889</v>
      </c>
      <c r="N17" s="39">
        <f>(((tbl_BA_activities[[#This Row],[Worst]])- tbl_BA_activities[[#This Row],[Mean (of the number set)]])^2 +((tbl_BA_activities[[#This Row],[ML]])- tbl_BA_activities[[#This Row],[Mean (of the number set)]])^2+((tbl_BA_activities[[#This Row],[Best]])- tbl_BA_activities[[#This Row],[Mean (of the number set)]])^2)</f>
        <v>200.66666666666669</v>
      </c>
      <c r="O17" s="39">
        <f>SQRT(tbl_BA_activities[[#This Row],[Variance (of the number set)]])</f>
        <v>8.1785627642568652</v>
      </c>
      <c r="P17" s="39">
        <f>IF(tbl_BA_activities[[#This Row],[ML]]=0,"",(tbl_BA_activities[[#This Row],[ML]]-tbl_BA_activities[[#This Row],[Mean (of the number set)]])/tbl_BA_activities[[#This Row],[sigma]])</f>
        <v>1.1819517616118727</v>
      </c>
      <c r="Q17" s="40">
        <v>0.31429423719935801</v>
      </c>
      <c r="R17" s="33" t="s">
        <v>189</v>
      </c>
      <c r="S17" s="33" t="s">
        <v>184</v>
      </c>
      <c r="T17" s="61">
        <f>IF(tbl_BA_activities[[#This Row],[Efficiency Adjustment]]="Efficient",0.8,IF(tbl_BA_activities[[#This Row],[Efficiency Adjustment]]="Average",0.7,IF(tbl_BA_activities[[#This Row],[Efficiency Adjustment]]="Inefficient",0.6,0)))</f>
        <v>0.7</v>
      </c>
      <c r="U17" s="61">
        <f>IF(tbl_BA_activities[[#This Row],[Proficiency Adjustment]]="Experienced",0.85,IF(tbl_BA_activities[[#This Row],[Proficiency Adjustment]]="Average",1,IF(tbl_BA_activities[[#This Row],[Proficiency Adjustment]]="Inexperienced",1.24,0)))</f>
        <v>0.85</v>
      </c>
      <c r="V17" s="25">
        <f>IF(OR(tbl_BA_activities[[#This Row],[Mean (of the number set)]]=0,tbl_BA_activities[[#This Row],[X]]=0,4=0),0,(tbl_BA_activities[[#This Row],[Mean (of the number set)]]/tbl_BA_activities[[#This Row],[X]])*tbl_BA_activities[[#This Row],[Y]])</f>
        <v>23.476190476190478</v>
      </c>
      <c r="W17" s="25">
        <f>IF(OR(tbl_BA_activities[[#This Row],[Mean (of the number set)]]=0,tbl_BA_activities[[#This Row],[X]]=0,4=0),0,tbl_BA_activities[[#This Row],[Adjusted Effort Hours]]/tbl_BA_activities[[#This Row],[Availability]])</f>
        <v>74.694944092466585</v>
      </c>
      <c r="X17" s="37">
        <f>tbl_BA_activities[[#This Row],[Adjusted Duration in Hours]]-2*tbl_BA_activities[[#This Row],[sigma]]</f>
        <v>58.337818563952851</v>
      </c>
      <c r="Y17" s="37">
        <f>tbl_BA_activities[[#This Row],[Adjusted Duration in Hours]]-1*tbl_BA_activities[[#This Row],[sigma]]</f>
        <v>66.516381328209718</v>
      </c>
      <c r="Z17" s="37">
        <f>tbl_BA_activities[[#This Row],[Adjusted Duration in Hours]]-0*tbl_BA_activities[[#This Row],[sigma]]</f>
        <v>74.694944092466585</v>
      </c>
      <c r="AA17" s="37">
        <f>tbl_BA_activities[[#This Row],[Adjusted Duration in Hours]]+1*tbl_BA_activities[[#This Row],[sigma]]</f>
        <v>82.873506856723452</v>
      </c>
      <c r="AB17" s="37">
        <f>tbl_BA_activities[[#This Row],[Adjusted Duration in Hours]]+2*tbl_BA_activities[[#This Row],[sigma]]</f>
        <v>91.052069620980319</v>
      </c>
      <c r="AC17" s="33" t="s">
        <v>185</v>
      </c>
      <c r="AD17" s="33" t="s">
        <v>186</v>
      </c>
      <c r="AE17" s="41"/>
      <c r="AF17" s="41"/>
      <c r="AG17" s="42">
        <v>0</v>
      </c>
      <c r="AH17" s="41"/>
      <c r="AI17" s="37" t="str">
        <f ca="1">IF(ISBLANK(tbl_BA_activities[[#This Row],[Due Date]]),"",IF(TODAY()&gt;tbl_BA_activities[[#This Row],[Due Date]],TODAY()-tbl_BA_activities[[#This Row],[Due Date]],0))</f>
        <v/>
      </c>
    </row>
    <row r="18" spans="2:35" ht="50.1" customHeight="1" x14ac:dyDescent="0.2">
      <c r="B18" s="33" t="s">
        <v>216</v>
      </c>
      <c r="C18" s="3" t="s">
        <v>217</v>
      </c>
      <c r="D18" s="24" t="s">
        <v>268</v>
      </c>
      <c r="E18" s="24" t="s">
        <v>268</v>
      </c>
      <c r="F18" s="24" t="s">
        <v>268</v>
      </c>
      <c r="G18" s="24" t="s">
        <v>268</v>
      </c>
      <c r="H18" s="24" t="s">
        <v>268</v>
      </c>
      <c r="I18" s="37">
        <v>71</v>
      </c>
      <c r="J18" s="37">
        <v>25</v>
      </c>
      <c r="K18" s="37">
        <v>20</v>
      </c>
      <c r="L18" s="39">
        <f>((tbl_BA_activities[[#This Row],[Worst]]+tbl_BA_activities[[#This Row],[ML]]+tbl_BA_activities[[#This Row],[Best]])/3)</f>
        <v>38.666666666666664</v>
      </c>
      <c r="M18" s="39">
        <f>((((tbl_BA_activities[[#This Row],[Worst]])- tbl_BA_activities[[#This Row],[Mean (of the number set)]])^2 +((tbl_BA_activities[[#This Row],[ML]])- tbl_BA_activities[[#This Row],[Mean (of the number set)]])^2+((tbl_BA_activities[[#This Row],[Best]])- tbl_BA_activities[[#This Row],[Mean (of the number set)]])^2)/3)</f>
        <v>526.8888888888888</v>
      </c>
      <c r="N18" s="39">
        <f>(((tbl_BA_activities[[#This Row],[Worst]])- tbl_BA_activities[[#This Row],[Mean (of the number set)]])^2 +((tbl_BA_activities[[#This Row],[ML]])- tbl_BA_activities[[#This Row],[Mean (of the number set)]])^2+((tbl_BA_activities[[#This Row],[Best]])- tbl_BA_activities[[#This Row],[Mean (of the number set)]])^2)</f>
        <v>1580.6666666666665</v>
      </c>
      <c r="O18" s="39">
        <f>SQRT(tbl_BA_activities[[#This Row],[Variance (of the number set)]])</f>
        <v>22.954060400915758</v>
      </c>
      <c r="P18" s="39">
        <f>IF(tbl_BA_activities[[#This Row],[ML]]=0,"",(tbl_BA_activities[[#This Row],[ML]]-tbl_BA_activities[[#This Row],[Mean (of the number set)]])/tbl_BA_activities[[#This Row],[sigma]])</f>
        <v>-0.59539211921396828</v>
      </c>
      <c r="Q18" s="40">
        <v>0.60710389845233081</v>
      </c>
      <c r="R18" s="33" t="s">
        <v>183</v>
      </c>
      <c r="S18" s="33" t="s">
        <v>189</v>
      </c>
      <c r="T18" s="61">
        <f>IF(tbl_BA_activities[[#This Row],[Efficiency Adjustment]]="Efficient",0.8,IF(tbl_BA_activities[[#This Row],[Efficiency Adjustment]]="Average",0.7,IF(tbl_BA_activities[[#This Row],[Efficiency Adjustment]]="Inefficient",0.6,0)))</f>
        <v>0.8</v>
      </c>
      <c r="U18" s="61">
        <f>IF(tbl_BA_activities[[#This Row],[Proficiency Adjustment]]="Experienced",0.85,IF(tbl_BA_activities[[#This Row],[Proficiency Adjustment]]="Average",1,IF(tbl_BA_activities[[#This Row],[Proficiency Adjustment]]="Inexperienced",1.24,0)))</f>
        <v>1</v>
      </c>
      <c r="V18" s="25">
        <f>IF(OR(tbl_BA_activities[[#This Row],[Mean (of the number set)]]=0,tbl_BA_activities[[#This Row],[X]]=0,4=0),0,(tbl_BA_activities[[#This Row],[Mean (of the number set)]]/tbl_BA_activities[[#This Row],[X]])*tbl_BA_activities[[#This Row],[Y]])</f>
        <v>48.333333333333329</v>
      </c>
      <c r="W18" s="25">
        <f>IF(OR(tbl_BA_activities[[#This Row],[Mean (of the number set)]]=0,tbl_BA_activities[[#This Row],[X]]=0,4=0),0,tbl_BA_activities[[#This Row],[Adjusted Effort Hours]]/tbl_BA_activities[[#This Row],[Availability]])</f>
        <v>79.612951681825535</v>
      </c>
      <c r="X18" s="37">
        <f>tbl_BA_activities[[#This Row],[Adjusted Duration in Hours]]-2*tbl_BA_activities[[#This Row],[sigma]]</f>
        <v>33.70483087999402</v>
      </c>
      <c r="Y18" s="37">
        <f>tbl_BA_activities[[#This Row],[Adjusted Duration in Hours]]-1*tbl_BA_activities[[#This Row],[sigma]]</f>
        <v>56.658891280909778</v>
      </c>
      <c r="Z18" s="37">
        <f>tbl_BA_activities[[#This Row],[Adjusted Duration in Hours]]-0*tbl_BA_activities[[#This Row],[sigma]]</f>
        <v>79.612951681825535</v>
      </c>
      <c r="AA18" s="37">
        <f>tbl_BA_activities[[#This Row],[Adjusted Duration in Hours]]+1*tbl_BA_activities[[#This Row],[sigma]]</f>
        <v>102.56701208274129</v>
      </c>
      <c r="AB18" s="37">
        <f>tbl_BA_activities[[#This Row],[Adjusted Duration in Hours]]+2*tbl_BA_activities[[#This Row],[sigma]]</f>
        <v>125.52107248365705</v>
      </c>
      <c r="AC18" s="33" t="s">
        <v>191</v>
      </c>
      <c r="AD18" s="33" t="s">
        <v>186</v>
      </c>
      <c r="AE18" s="41"/>
      <c r="AF18" s="41"/>
      <c r="AG18" s="42">
        <v>0</v>
      </c>
      <c r="AH18" s="41"/>
      <c r="AI18" s="37" t="str">
        <f ca="1">IF(ISBLANK(tbl_BA_activities[[#This Row],[Due Date]]),"",IF(TODAY()&gt;tbl_BA_activities[[#This Row],[Due Date]],TODAY()-tbl_BA_activities[[#This Row],[Due Date]],0))</f>
        <v/>
      </c>
    </row>
    <row r="19" spans="2:35" ht="50.1" customHeight="1" x14ac:dyDescent="0.2">
      <c r="B19" s="33" t="s">
        <v>218</v>
      </c>
      <c r="C19" s="3" t="s">
        <v>219</v>
      </c>
      <c r="D19" s="24" t="s">
        <v>268</v>
      </c>
      <c r="E19" s="24" t="s">
        <v>268</v>
      </c>
      <c r="F19" s="24" t="s">
        <v>268</v>
      </c>
      <c r="G19" s="24" t="s">
        <v>268</v>
      </c>
      <c r="H19" s="24" t="s">
        <v>268</v>
      </c>
      <c r="I19" s="37">
        <v>66</v>
      </c>
      <c r="J19" s="37">
        <v>32</v>
      </c>
      <c r="K19" s="37">
        <v>20</v>
      </c>
      <c r="L19" s="39">
        <f>((tbl_BA_activities[[#This Row],[Worst]]+tbl_BA_activities[[#This Row],[ML]]+tbl_BA_activities[[#This Row],[Best]])/3)</f>
        <v>39.333333333333336</v>
      </c>
      <c r="M19" s="39">
        <f>((((tbl_BA_activities[[#This Row],[Worst]])- tbl_BA_activities[[#This Row],[Mean (of the number set)]])^2 +((tbl_BA_activities[[#This Row],[ML]])- tbl_BA_activities[[#This Row],[Mean (of the number set)]])^2+((tbl_BA_activities[[#This Row],[Best]])- tbl_BA_activities[[#This Row],[Mean (of the number set)]])^2)/3)</f>
        <v>379.5555555555556</v>
      </c>
      <c r="N19" s="39">
        <f>(((tbl_BA_activities[[#This Row],[Worst]])- tbl_BA_activities[[#This Row],[Mean (of the number set)]])^2 +((tbl_BA_activities[[#This Row],[ML]])- tbl_BA_activities[[#This Row],[Mean (of the number set)]])^2+((tbl_BA_activities[[#This Row],[Best]])- tbl_BA_activities[[#This Row],[Mean (of the number set)]])^2)</f>
        <v>1138.6666666666667</v>
      </c>
      <c r="O19" s="39">
        <f>SQRT(tbl_BA_activities[[#This Row],[Variance (of the number set)]])</f>
        <v>19.48218559493661</v>
      </c>
      <c r="P19" s="39">
        <f>IF(tbl_BA_activities[[#This Row],[ML]]=0,"",(tbl_BA_activities[[#This Row],[ML]]-tbl_BA_activities[[#This Row],[Mean (of the number set)]])/tbl_BA_activities[[#This Row],[sigma]])</f>
        <v>-0.37641225095603531</v>
      </c>
      <c r="Q19" s="40">
        <v>0.3650782229138213</v>
      </c>
      <c r="R19" s="33" t="s">
        <v>183</v>
      </c>
      <c r="S19" s="33" t="s">
        <v>190</v>
      </c>
      <c r="T19" s="61">
        <f>IF(tbl_BA_activities[[#This Row],[Efficiency Adjustment]]="Efficient",0.8,IF(tbl_BA_activities[[#This Row],[Efficiency Adjustment]]="Average",0.7,IF(tbl_BA_activities[[#This Row],[Efficiency Adjustment]]="Inefficient",0.6,0)))</f>
        <v>0.8</v>
      </c>
      <c r="U19" s="61">
        <f>IF(tbl_BA_activities[[#This Row],[Proficiency Adjustment]]="Experienced",0.85,IF(tbl_BA_activities[[#This Row],[Proficiency Adjustment]]="Average",1,IF(tbl_BA_activities[[#This Row],[Proficiency Adjustment]]="Inexperienced",1.24,0)))</f>
        <v>1.24</v>
      </c>
      <c r="V19" s="25">
        <f>IF(OR(tbl_BA_activities[[#This Row],[Mean (of the number set)]]=0,tbl_BA_activities[[#This Row],[X]]=0,4=0),0,(tbl_BA_activities[[#This Row],[Mean (of the number set)]]/tbl_BA_activities[[#This Row],[X]])*tbl_BA_activities[[#This Row],[Y]])</f>
        <v>60.966666666666661</v>
      </c>
      <c r="W19" s="25">
        <f>IF(OR(tbl_BA_activities[[#This Row],[Mean (of the number set)]]=0,tbl_BA_activities[[#This Row],[X]]=0,4=0),0,tbl_BA_activities[[#This Row],[Adjusted Effort Hours]]/tbl_BA_activities[[#This Row],[Availability]])</f>
        <v>166.99617462819242</v>
      </c>
      <c r="X19" s="37">
        <f>tbl_BA_activities[[#This Row],[Adjusted Duration in Hours]]-2*tbl_BA_activities[[#This Row],[sigma]]</f>
        <v>128.0318034383192</v>
      </c>
      <c r="Y19" s="37">
        <f>tbl_BA_activities[[#This Row],[Adjusted Duration in Hours]]-1*tbl_BA_activities[[#This Row],[sigma]]</f>
        <v>147.51398903325583</v>
      </c>
      <c r="Z19" s="37">
        <f>tbl_BA_activities[[#This Row],[Adjusted Duration in Hours]]-0*tbl_BA_activities[[#This Row],[sigma]]</f>
        <v>166.99617462819242</v>
      </c>
      <c r="AA19" s="37">
        <f>tbl_BA_activities[[#This Row],[Adjusted Duration in Hours]]+1*tbl_BA_activities[[#This Row],[sigma]]</f>
        <v>186.47836022312902</v>
      </c>
      <c r="AB19" s="37">
        <f>tbl_BA_activities[[#This Row],[Adjusted Duration in Hours]]+2*tbl_BA_activities[[#This Row],[sigma]]</f>
        <v>205.96054581806564</v>
      </c>
      <c r="AC19" s="33" t="s">
        <v>194</v>
      </c>
      <c r="AD19" s="33" t="s">
        <v>186</v>
      </c>
      <c r="AE19" s="41"/>
      <c r="AF19" s="41"/>
      <c r="AG19" s="42">
        <v>0</v>
      </c>
      <c r="AH19" s="41"/>
      <c r="AI19" s="37" t="str">
        <f ca="1">IF(ISBLANK(tbl_BA_activities[[#This Row],[Due Date]]),"",IF(TODAY()&gt;tbl_BA_activities[[#This Row],[Due Date]],TODAY()-tbl_BA_activities[[#This Row],[Due Date]],0))</f>
        <v/>
      </c>
    </row>
    <row r="20" spans="2:35" ht="50.1" customHeight="1" x14ac:dyDescent="0.2">
      <c r="B20" s="33" t="s">
        <v>220</v>
      </c>
      <c r="C20" s="3" t="s">
        <v>221</v>
      </c>
      <c r="D20" s="24" t="s">
        <v>268</v>
      </c>
      <c r="E20" s="24" t="s">
        <v>268</v>
      </c>
      <c r="F20" s="24" t="s">
        <v>268</v>
      </c>
      <c r="G20" s="24" t="s">
        <v>268</v>
      </c>
      <c r="H20" s="24" t="s">
        <v>268</v>
      </c>
      <c r="I20" s="37">
        <v>35</v>
      </c>
      <c r="J20" s="37">
        <v>30</v>
      </c>
      <c r="K20" s="37">
        <v>24</v>
      </c>
      <c r="L20" s="39">
        <f>((tbl_BA_activities[[#This Row],[Worst]]+tbl_BA_activities[[#This Row],[ML]]+tbl_BA_activities[[#This Row],[Best]])/3)</f>
        <v>29.666666666666668</v>
      </c>
      <c r="M20" s="39">
        <f>((((tbl_BA_activities[[#This Row],[Worst]])- tbl_BA_activities[[#This Row],[Mean (of the number set)]])^2 +((tbl_BA_activities[[#This Row],[ML]])- tbl_BA_activities[[#This Row],[Mean (of the number set)]])^2+((tbl_BA_activities[[#This Row],[Best]])- tbl_BA_activities[[#This Row],[Mean (of the number set)]])^2)/3)</f>
        <v>20.222222222222221</v>
      </c>
      <c r="N20" s="39">
        <f>(((tbl_BA_activities[[#This Row],[Worst]])- tbl_BA_activities[[#This Row],[Mean (of the number set)]])^2 +((tbl_BA_activities[[#This Row],[ML]])- tbl_BA_activities[[#This Row],[Mean (of the number set)]])^2+((tbl_BA_activities[[#This Row],[Best]])- tbl_BA_activities[[#This Row],[Mean (of the number set)]])^2)</f>
        <v>60.666666666666664</v>
      </c>
      <c r="O20" s="39">
        <f>SQRT(tbl_BA_activities[[#This Row],[Variance (of the number set)]])</f>
        <v>4.4969125210773466</v>
      </c>
      <c r="P20" s="39">
        <f>IF(tbl_BA_activities[[#This Row],[ML]]=0,"",(tbl_BA_activities[[#This Row],[ML]]-tbl_BA_activities[[#This Row],[Mean (of the number set)]])/tbl_BA_activities[[#This Row],[sigma]])</f>
        <v>7.4124931666109867E-2</v>
      </c>
      <c r="Q20" s="40">
        <v>0.34246276585026297</v>
      </c>
      <c r="R20" s="33" t="s">
        <v>189</v>
      </c>
      <c r="S20" s="33" t="s">
        <v>184</v>
      </c>
      <c r="T20" s="61">
        <f>IF(tbl_BA_activities[[#This Row],[Efficiency Adjustment]]="Efficient",0.8,IF(tbl_BA_activities[[#This Row],[Efficiency Adjustment]]="Average",0.7,IF(tbl_BA_activities[[#This Row],[Efficiency Adjustment]]="Inefficient",0.6,0)))</f>
        <v>0.7</v>
      </c>
      <c r="U20" s="61">
        <f>IF(tbl_BA_activities[[#This Row],[Proficiency Adjustment]]="Experienced",0.85,IF(tbl_BA_activities[[#This Row],[Proficiency Adjustment]]="Average",1,IF(tbl_BA_activities[[#This Row],[Proficiency Adjustment]]="Inexperienced",1.24,0)))</f>
        <v>0.85</v>
      </c>
      <c r="V20" s="25">
        <f>IF(OR(tbl_BA_activities[[#This Row],[Mean (of the number set)]]=0,tbl_BA_activities[[#This Row],[X]]=0,4=0),0,(tbl_BA_activities[[#This Row],[Mean (of the number set)]]/tbl_BA_activities[[#This Row],[X]])*tbl_BA_activities[[#This Row],[Y]])</f>
        <v>36.023809523809526</v>
      </c>
      <c r="W20" s="25">
        <f>IF(OR(tbl_BA_activities[[#This Row],[Mean (of the number set)]]=0,tbl_BA_activities[[#This Row],[X]]=0,4=0),0,tbl_BA_activities[[#This Row],[Adjusted Effort Hours]]/tbl_BA_activities[[#This Row],[Availability]])</f>
        <v>105.19044146119064</v>
      </c>
      <c r="X20" s="37">
        <f>tbl_BA_activities[[#This Row],[Adjusted Duration in Hours]]-2*tbl_BA_activities[[#This Row],[sigma]]</f>
        <v>96.196616419035948</v>
      </c>
      <c r="Y20" s="37">
        <f>tbl_BA_activities[[#This Row],[Adjusted Duration in Hours]]-1*tbl_BA_activities[[#This Row],[sigma]]</f>
        <v>100.6935289401133</v>
      </c>
      <c r="Z20" s="37">
        <f>tbl_BA_activities[[#This Row],[Adjusted Duration in Hours]]-0*tbl_BA_activities[[#This Row],[sigma]]</f>
        <v>105.19044146119064</v>
      </c>
      <c r="AA20" s="37">
        <f>tbl_BA_activities[[#This Row],[Adjusted Duration in Hours]]+1*tbl_BA_activities[[#This Row],[sigma]]</f>
        <v>109.68735398226799</v>
      </c>
      <c r="AB20" s="37">
        <f>tbl_BA_activities[[#This Row],[Adjusted Duration in Hours]]+2*tbl_BA_activities[[#This Row],[sigma]]</f>
        <v>114.18426650334534</v>
      </c>
      <c r="AC20" s="33" t="s">
        <v>185</v>
      </c>
      <c r="AD20" s="33" t="s">
        <v>186</v>
      </c>
      <c r="AE20" s="41"/>
      <c r="AF20" s="41"/>
      <c r="AG20" s="42">
        <v>0</v>
      </c>
      <c r="AH20" s="41"/>
      <c r="AI20" s="37" t="str">
        <f ca="1">IF(ISBLANK(tbl_BA_activities[[#This Row],[Due Date]]),"",IF(TODAY()&gt;tbl_BA_activities[[#This Row],[Due Date]],TODAY()-tbl_BA_activities[[#This Row],[Due Date]],0))</f>
        <v/>
      </c>
    </row>
    <row r="21" spans="2:35" ht="50.1" customHeight="1" x14ac:dyDescent="0.2">
      <c r="B21" s="33" t="s">
        <v>222</v>
      </c>
      <c r="C21" s="3" t="s">
        <v>223</v>
      </c>
      <c r="D21" s="24" t="s">
        <v>268</v>
      </c>
      <c r="E21" s="24" t="s">
        <v>268</v>
      </c>
      <c r="F21" s="24" t="s">
        <v>268</v>
      </c>
      <c r="G21" s="24" t="s">
        <v>268</v>
      </c>
      <c r="H21" s="24" t="s">
        <v>268</v>
      </c>
      <c r="I21" s="37">
        <v>22</v>
      </c>
      <c r="J21" s="37">
        <v>29</v>
      </c>
      <c r="K21" s="37">
        <v>18</v>
      </c>
      <c r="L21" s="39">
        <f>((tbl_BA_activities[[#This Row],[Worst]]+tbl_BA_activities[[#This Row],[ML]]+tbl_BA_activities[[#This Row],[Best]])/3)</f>
        <v>23</v>
      </c>
      <c r="M21" s="39">
        <f>((((tbl_BA_activities[[#This Row],[Worst]])- tbl_BA_activities[[#This Row],[Mean (of the number set)]])^2 +((tbl_BA_activities[[#This Row],[ML]])- tbl_BA_activities[[#This Row],[Mean (of the number set)]])^2+((tbl_BA_activities[[#This Row],[Best]])- tbl_BA_activities[[#This Row],[Mean (of the number set)]])^2)/3)</f>
        <v>20.666666666666668</v>
      </c>
      <c r="N21" s="39">
        <f>(((tbl_BA_activities[[#This Row],[Worst]])- tbl_BA_activities[[#This Row],[Mean (of the number set)]])^2 +((tbl_BA_activities[[#This Row],[ML]])- tbl_BA_activities[[#This Row],[Mean (of the number set)]])^2+((tbl_BA_activities[[#This Row],[Best]])- tbl_BA_activities[[#This Row],[Mean (of the number set)]])^2)</f>
        <v>62</v>
      </c>
      <c r="O21" s="39">
        <f>SQRT(tbl_BA_activities[[#This Row],[Variance (of the number set)]])</f>
        <v>4.5460605656619517</v>
      </c>
      <c r="P21" s="39">
        <f>IF(tbl_BA_activities[[#This Row],[ML]]=0,"",(tbl_BA_activities[[#This Row],[ML]]-tbl_BA_activities[[#This Row],[Mean (of the number set)]])/tbl_BA_activities[[#This Row],[sigma]])</f>
        <v>1.3198240351921797</v>
      </c>
      <c r="Q21" s="40">
        <v>0.15397849386971219</v>
      </c>
      <c r="R21" s="33" t="s">
        <v>197</v>
      </c>
      <c r="S21" s="33" t="s">
        <v>189</v>
      </c>
      <c r="T21" s="61">
        <f>IF(tbl_BA_activities[[#This Row],[Efficiency Adjustment]]="Efficient",0.8,IF(tbl_BA_activities[[#This Row],[Efficiency Adjustment]]="Average",0.7,IF(tbl_BA_activities[[#This Row],[Efficiency Adjustment]]="Inefficient",0.6,0)))</f>
        <v>0.6</v>
      </c>
      <c r="U21" s="61">
        <f>IF(tbl_BA_activities[[#This Row],[Proficiency Adjustment]]="Experienced",0.85,IF(tbl_BA_activities[[#This Row],[Proficiency Adjustment]]="Average",1,IF(tbl_BA_activities[[#This Row],[Proficiency Adjustment]]="Inexperienced",1.24,0)))</f>
        <v>1</v>
      </c>
      <c r="V21" s="25">
        <f>IF(OR(tbl_BA_activities[[#This Row],[Mean (of the number set)]]=0,tbl_BA_activities[[#This Row],[X]]=0,4=0),0,(tbl_BA_activities[[#This Row],[Mean (of the number set)]]/tbl_BA_activities[[#This Row],[X]])*tbl_BA_activities[[#This Row],[Y]])</f>
        <v>38.333333333333336</v>
      </c>
      <c r="W21" s="25">
        <f>IF(OR(tbl_BA_activities[[#This Row],[Mean (of the number set)]]=0,tbl_BA_activities[[#This Row],[X]]=0,4=0),0,tbl_BA_activities[[#This Row],[Adjusted Effort Hours]]/tbl_BA_activities[[#This Row],[Availability]])</f>
        <v>248.95251518545709</v>
      </c>
      <c r="X21" s="37">
        <f>tbl_BA_activities[[#This Row],[Adjusted Duration in Hours]]-2*tbl_BA_activities[[#This Row],[sigma]]</f>
        <v>239.8603940541332</v>
      </c>
      <c r="Y21" s="37">
        <f>tbl_BA_activities[[#This Row],[Adjusted Duration in Hours]]-1*tbl_BA_activities[[#This Row],[sigma]]</f>
        <v>244.40645461979514</v>
      </c>
      <c r="Z21" s="37">
        <f>tbl_BA_activities[[#This Row],[Adjusted Duration in Hours]]-0*tbl_BA_activities[[#This Row],[sigma]]</f>
        <v>248.95251518545709</v>
      </c>
      <c r="AA21" s="37">
        <f>tbl_BA_activities[[#This Row],[Adjusted Duration in Hours]]+1*tbl_BA_activities[[#This Row],[sigma]]</f>
        <v>253.49857575111903</v>
      </c>
      <c r="AB21" s="37">
        <f>tbl_BA_activities[[#This Row],[Adjusted Duration in Hours]]+2*tbl_BA_activities[[#This Row],[sigma]]</f>
        <v>258.04463631678101</v>
      </c>
      <c r="AC21" s="33" t="s">
        <v>185</v>
      </c>
      <c r="AD21" s="33" t="s">
        <v>186</v>
      </c>
      <c r="AE21" s="41"/>
      <c r="AF21" s="41"/>
      <c r="AG21" s="42">
        <v>0</v>
      </c>
      <c r="AH21" s="41"/>
      <c r="AI21" s="37" t="str">
        <f ca="1">IF(ISBLANK(tbl_BA_activities[[#This Row],[Due Date]]),"",IF(TODAY()&gt;tbl_BA_activities[[#This Row],[Due Date]],TODAY()-tbl_BA_activities[[#This Row],[Due Date]],0))</f>
        <v/>
      </c>
    </row>
    <row r="22" spans="2:35" ht="50.1" customHeight="1" x14ac:dyDescent="0.2">
      <c r="B22" s="33" t="s">
        <v>224</v>
      </c>
      <c r="C22" s="3" t="s">
        <v>225</v>
      </c>
      <c r="D22" s="24" t="s">
        <v>268</v>
      </c>
      <c r="E22" s="24" t="s">
        <v>268</v>
      </c>
      <c r="F22" s="24" t="s">
        <v>268</v>
      </c>
      <c r="G22" s="24" t="s">
        <v>268</v>
      </c>
      <c r="H22" s="24" t="s">
        <v>268</v>
      </c>
      <c r="I22" s="37">
        <v>44</v>
      </c>
      <c r="J22" s="37">
        <v>27</v>
      </c>
      <c r="K22" s="37">
        <v>6</v>
      </c>
      <c r="L22" s="39">
        <f>((tbl_BA_activities[[#This Row],[Worst]]+tbl_BA_activities[[#This Row],[ML]]+tbl_BA_activities[[#This Row],[Best]])/3)</f>
        <v>25.666666666666668</v>
      </c>
      <c r="M22" s="39">
        <f>((((tbl_BA_activities[[#This Row],[Worst]])- tbl_BA_activities[[#This Row],[Mean (of the number set)]])^2 +((tbl_BA_activities[[#This Row],[ML]])- tbl_BA_activities[[#This Row],[Mean (of the number set)]])^2+((tbl_BA_activities[[#This Row],[Best]])- tbl_BA_activities[[#This Row],[Mean (of the number set)]])^2)/3)</f>
        <v>241.55555555555557</v>
      </c>
      <c r="N22" s="39">
        <f>(((tbl_BA_activities[[#This Row],[Worst]])- tbl_BA_activities[[#This Row],[Mean (of the number set)]])^2 +((tbl_BA_activities[[#This Row],[ML]])- tbl_BA_activities[[#This Row],[Mean (of the number set)]])^2+((tbl_BA_activities[[#This Row],[Best]])- tbl_BA_activities[[#This Row],[Mean (of the number set)]])^2)</f>
        <v>724.66666666666674</v>
      </c>
      <c r="O22" s="39">
        <f>SQRT(tbl_BA_activities[[#This Row],[Variance (of the number set)]])</f>
        <v>15.542057635833023</v>
      </c>
      <c r="P22" s="39">
        <f>IF(tbl_BA_activities[[#This Row],[ML]]=0,"",(tbl_BA_activities[[#This Row],[ML]]-tbl_BA_activities[[#This Row],[Mean (of the number set)]])/tbl_BA_activities[[#This Row],[sigma]])</f>
        <v>8.5788726600734166E-2</v>
      </c>
      <c r="Q22" s="40">
        <v>0.35008071125257201</v>
      </c>
      <c r="R22" s="33" t="s">
        <v>183</v>
      </c>
      <c r="S22" s="33" t="s">
        <v>190</v>
      </c>
      <c r="T22" s="61">
        <f>IF(tbl_BA_activities[[#This Row],[Efficiency Adjustment]]="Efficient",0.8,IF(tbl_BA_activities[[#This Row],[Efficiency Adjustment]]="Average",0.7,IF(tbl_BA_activities[[#This Row],[Efficiency Adjustment]]="Inefficient",0.6,0)))</f>
        <v>0.8</v>
      </c>
      <c r="U22" s="61">
        <f>IF(tbl_BA_activities[[#This Row],[Proficiency Adjustment]]="Experienced",0.85,IF(tbl_BA_activities[[#This Row],[Proficiency Adjustment]]="Average",1,IF(tbl_BA_activities[[#This Row],[Proficiency Adjustment]]="Inexperienced",1.24,0)))</f>
        <v>1.24</v>
      </c>
      <c r="V22" s="25">
        <f>IF(OR(tbl_BA_activities[[#This Row],[Mean (of the number set)]]=0,tbl_BA_activities[[#This Row],[X]]=0,4=0),0,(tbl_BA_activities[[#This Row],[Mean (of the number set)]]/tbl_BA_activities[[#This Row],[X]])*tbl_BA_activities[[#This Row],[Y]])</f>
        <v>39.783333333333339</v>
      </c>
      <c r="W22" s="25">
        <f>IF(OR(tbl_BA_activities[[#This Row],[Mean (of the number set)]]=0,tbl_BA_activities[[#This Row],[X]]=0,4=0),0,tbl_BA_activities[[#This Row],[Adjusted Effort Hours]]/tbl_BA_activities[[#This Row],[Availability]])</f>
        <v>113.6404607697193</v>
      </c>
      <c r="X22" s="37">
        <f>tbl_BA_activities[[#This Row],[Adjusted Duration in Hours]]-2*tbl_BA_activities[[#This Row],[sigma]]</f>
        <v>82.556345498053247</v>
      </c>
      <c r="Y22" s="37">
        <f>tbl_BA_activities[[#This Row],[Adjusted Duration in Hours]]-1*tbl_BA_activities[[#This Row],[sigma]]</f>
        <v>98.098403133886279</v>
      </c>
      <c r="Z22" s="37">
        <f>tbl_BA_activities[[#This Row],[Adjusted Duration in Hours]]-0*tbl_BA_activities[[#This Row],[sigma]]</f>
        <v>113.6404607697193</v>
      </c>
      <c r="AA22" s="37">
        <f>tbl_BA_activities[[#This Row],[Adjusted Duration in Hours]]+1*tbl_BA_activities[[#This Row],[sigma]]</f>
        <v>129.18251840555232</v>
      </c>
      <c r="AB22" s="37">
        <f>tbl_BA_activities[[#This Row],[Adjusted Duration in Hours]]+2*tbl_BA_activities[[#This Row],[sigma]]</f>
        <v>144.72457604138535</v>
      </c>
      <c r="AC22" s="33" t="s">
        <v>191</v>
      </c>
      <c r="AD22" s="33" t="s">
        <v>186</v>
      </c>
      <c r="AE22" s="41"/>
      <c r="AF22" s="41"/>
      <c r="AG22" s="42">
        <v>0</v>
      </c>
      <c r="AH22" s="41"/>
      <c r="AI22" s="37" t="str">
        <f ca="1">IF(ISBLANK(tbl_BA_activities[[#This Row],[Due Date]]),"",IF(TODAY()&gt;tbl_BA_activities[[#This Row],[Due Date]],TODAY()-tbl_BA_activities[[#This Row],[Due Date]],0))</f>
        <v/>
      </c>
    </row>
    <row r="23" spans="2:35" ht="50.1" customHeight="1" x14ac:dyDescent="0.2">
      <c r="B23" s="33" t="s">
        <v>226</v>
      </c>
      <c r="C23" s="3" t="s">
        <v>227</v>
      </c>
      <c r="D23" s="24" t="s">
        <v>268</v>
      </c>
      <c r="E23" s="24" t="s">
        <v>268</v>
      </c>
      <c r="F23" s="24" t="s">
        <v>268</v>
      </c>
      <c r="G23" s="24" t="s">
        <v>268</v>
      </c>
      <c r="H23" s="24" t="s">
        <v>268</v>
      </c>
      <c r="I23" s="37">
        <v>70</v>
      </c>
      <c r="J23" s="37">
        <v>32</v>
      </c>
      <c r="K23" s="37">
        <v>15</v>
      </c>
      <c r="L23" s="39">
        <f>((tbl_BA_activities[[#This Row],[Worst]]+tbl_BA_activities[[#This Row],[ML]]+tbl_BA_activities[[#This Row],[Best]])/3)</f>
        <v>39</v>
      </c>
      <c r="M23" s="39">
        <f>((((tbl_BA_activities[[#This Row],[Worst]])- tbl_BA_activities[[#This Row],[Mean (of the number set)]])^2 +((tbl_BA_activities[[#This Row],[ML]])- tbl_BA_activities[[#This Row],[Mean (of the number set)]])^2+((tbl_BA_activities[[#This Row],[Best]])- tbl_BA_activities[[#This Row],[Mean (of the number set)]])^2)/3)</f>
        <v>528.66666666666663</v>
      </c>
      <c r="N23" s="39">
        <f>(((tbl_BA_activities[[#This Row],[Worst]])- tbl_BA_activities[[#This Row],[Mean (of the number set)]])^2 +((tbl_BA_activities[[#This Row],[ML]])- tbl_BA_activities[[#This Row],[Mean (of the number set)]])^2+((tbl_BA_activities[[#This Row],[Best]])- tbl_BA_activities[[#This Row],[Mean (of the number set)]])^2)</f>
        <v>1586</v>
      </c>
      <c r="O23" s="39">
        <f>SQRT(tbl_BA_activities[[#This Row],[Variance (of the number set)]])</f>
        <v>22.992752481307377</v>
      </c>
      <c r="P23" s="39">
        <f>IF(tbl_BA_activities[[#This Row],[ML]]=0,"",(tbl_BA_activities[[#This Row],[ML]]-tbl_BA_activities[[#This Row],[Mean (of the number set)]])/tbl_BA_activities[[#This Row],[sigma]])</f>
        <v>-0.30444375921024908</v>
      </c>
      <c r="Q23" s="40">
        <v>0.80267108698628031</v>
      </c>
      <c r="R23" s="33" t="s">
        <v>197</v>
      </c>
      <c r="S23" s="33" t="s">
        <v>189</v>
      </c>
      <c r="T23" s="61">
        <f>IF(tbl_BA_activities[[#This Row],[Efficiency Adjustment]]="Efficient",0.8,IF(tbl_BA_activities[[#This Row],[Efficiency Adjustment]]="Average",0.7,IF(tbl_BA_activities[[#This Row],[Efficiency Adjustment]]="Inefficient",0.6,0)))</f>
        <v>0.6</v>
      </c>
      <c r="U23" s="61">
        <f>IF(tbl_BA_activities[[#This Row],[Proficiency Adjustment]]="Experienced",0.85,IF(tbl_BA_activities[[#This Row],[Proficiency Adjustment]]="Average",1,IF(tbl_BA_activities[[#This Row],[Proficiency Adjustment]]="Inexperienced",1.24,0)))</f>
        <v>1</v>
      </c>
      <c r="V23" s="25">
        <f>IF(OR(tbl_BA_activities[[#This Row],[Mean (of the number set)]]=0,tbl_BA_activities[[#This Row],[X]]=0,4=0),0,(tbl_BA_activities[[#This Row],[Mean (of the number set)]]/tbl_BA_activities[[#This Row],[X]])*tbl_BA_activities[[#This Row],[Y]])</f>
        <v>65</v>
      </c>
      <c r="W23" s="25">
        <f>IF(OR(tbl_BA_activities[[#This Row],[Mean (of the number set)]]=0,tbl_BA_activities[[#This Row],[X]]=0,4=0),0,tbl_BA_activities[[#This Row],[Adjusted Effort Hours]]/tbl_BA_activities[[#This Row],[Availability]])</f>
        <v>80.979620486954218</v>
      </c>
      <c r="X23" s="37">
        <f>tbl_BA_activities[[#This Row],[Adjusted Duration in Hours]]-2*tbl_BA_activities[[#This Row],[sigma]]</f>
        <v>34.994115524339463</v>
      </c>
      <c r="Y23" s="37">
        <f>tbl_BA_activities[[#This Row],[Adjusted Duration in Hours]]-1*tbl_BA_activities[[#This Row],[sigma]]</f>
        <v>57.986868005646841</v>
      </c>
      <c r="Z23" s="37">
        <f>tbl_BA_activities[[#This Row],[Adjusted Duration in Hours]]-0*tbl_BA_activities[[#This Row],[sigma]]</f>
        <v>80.979620486954218</v>
      </c>
      <c r="AA23" s="37">
        <f>tbl_BA_activities[[#This Row],[Adjusted Duration in Hours]]+1*tbl_BA_activities[[#This Row],[sigma]]</f>
        <v>103.9723729682616</v>
      </c>
      <c r="AB23" s="37">
        <f>tbl_BA_activities[[#This Row],[Adjusted Duration in Hours]]+2*tbl_BA_activities[[#This Row],[sigma]]</f>
        <v>126.96512544956897</v>
      </c>
      <c r="AC23" s="33" t="s">
        <v>185</v>
      </c>
      <c r="AD23" s="33" t="s">
        <v>186</v>
      </c>
      <c r="AE23" s="41"/>
      <c r="AF23" s="41"/>
      <c r="AG23" s="42">
        <v>0</v>
      </c>
      <c r="AH23" s="41"/>
      <c r="AI23" s="37" t="str">
        <f ca="1">IF(ISBLANK(tbl_BA_activities[[#This Row],[Due Date]]),"",IF(TODAY()&gt;tbl_BA_activities[[#This Row],[Due Date]],TODAY()-tbl_BA_activities[[#This Row],[Due Date]],0))</f>
        <v/>
      </c>
    </row>
    <row r="24" spans="2:35" ht="50.1" customHeight="1" x14ac:dyDescent="0.2">
      <c r="B24" s="33" t="s">
        <v>228</v>
      </c>
      <c r="C24" s="3" t="s">
        <v>229</v>
      </c>
      <c r="D24" s="24" t="s">
        <v>268</v>
      </c>
      <c r="E24" s="24" t="s">
        <v>268</v>
      </c>
      <c r="F24" s="24" t="s">
        <v>268</v>
      </c>
      <c r="G24" s="24" t="s">
        <v>268</v>
      </c>
      <c r="H24" s="24" t="s">
        <v>268</v>
      </c>
      <c r="I24" s="37">
        <v>72</v>
      </c>
      <c r="J24" s="37">
        <v>29</v>
      </c>
      <c r="K24" s="37">
        <v>35</v>
      </c>
      <c r="L24" s="39">
        <f>((tbl_BA_activities[[#This Row],[Worst]]+tbl_BA_activities[[#This Row],[ML]]+tbl_BA_activities[[#This Row],[Best]])/3)</f>
        <v>45.333333333333336</v>
      </c>
      <c r="M24" s="39">
        <f>((((tbl_BA_activities[[#This Row],[Worst]])- tbl_BA_activities[[#This Row],[Mean (of the number set)]])^2 +((tbl_BA_activities[[#This Row],[ML]])- tbl_BA_activities[[#This Row],[Mean (of the number set)]])^2+((tbl_BA_activities[[#This Row],[Best]])- tbl_BA_activities[[#This Row],[Mean (of the number set)]])^2)/3)</f>
        <v>361.55555555555549</v>
      </c>
      <c r="N24" s="39">
        <f>(((tbl_BA_activities[[#This Row],[Worst]])- tbl_BA_activities[[#This Row],[Mean (of the number set)]])^2 +((tbl_BA_activities[[#This Row],[ML]])- tbl_BA_activities[[#This Row],[Mean (of the number set)]])^2+((tbl_BA_activities[[#This Row],[Best]])- tbl_BA_activities[[#This Row],[Mean (of the number set)]])^2)</f>
        <v>1084.6666666666665</v>
      </c>
      <c r="O24" s="39">
        <f>SQRT(tbl_BA_activities[[#This Row],[Variance (of the number set)]])</f>
        <v>19.014614262602212</v>
      </c>
      <c r="P24" s="39">
        <f>IF(tbl_BA_activities[[#This Row],[ML]]=0,"",(tbl_BA_activities[[#This Row],[ML]]-tbl_BA_activities[[#This Row],[Mean (of the number set)]])/tbl_BA_activities[[#This Row],[sigma]])</f>
        <v>-0.85898841321528163</v>
      </c>
      <c r="Q24" s="40">
        <v>0.34726715010119469</v>
      </c>
      <c r="R24" s="33" t="s">
        <v>189</v>
      </c>
      <c r="S24" s="33" t="s">
        <v>189</v>
      </c>
      <c r="T24" s="61">
        <f>IF(tbl_BA_activities[[#This Row],[Efficiency Adjustment]]="Efficient",0.8,IF(tbl_BA_activities[[#This Row],[Efficiency Adjustment]]="Average",0.7,IF(tbl_BA_activities[[#This Row],[Efficiency Adjustment]]="Inefficient",0.6,0)))</f>
        <v>0.7</v>
      </c>
      <c r="U24" s="61">
        <f>IF(tbl_BA_activities[[#This Row],[Proficiency Adjustment]]="Experienced",0.85,IF(tbl_BA_activities[[#This Row],[Proficiency Adjustment]]="Average",1,IF(tbl_BA_activities[[#This Row],[Proficiency Adjustment]]="Inexperienced",1.24,0)))</f>
        <v>1</v>
      </c>
      <c r="V24" s="25">
        <f>IF(OR(tbl_BA_activities[[#This Row],[Mean (of the number set)]]=0,tbl_BA_activities[[#This Row],[X]]=0,4=0),0,(tbl_BA_activities[[#This Row],[Mean (of the number set)]]/tbl_BA_activities[[#This Row],[X]])*tbl_BA_activities[[#This Row],[Y]])</f>
        <v>64.761904761904773</v>
      </c>
      <c r="W24" s="25">
        <f>IF(OR(tbl_BA_activities[[#This Row],[Mean (of the number set)]]=0,tbl_BA_activities[[#This Row],[X]]=0,4=0),0,tbl_BA_activities[[#This Row],[Adjusted Effort Hours]]/tbl_BA_activities[[#This Row],[Availability]])</f>
        <v>186.490155325757</v>
      </c>
      <c r="X24" s="37">
        <f>tbl_BA_activities[[#This Row],[Adjusted Duration in Hours]]-2*tbl_BA_activities[[#This Row],[sigma]]</f>
        <v>148.46092680055258</v>
      </c>
      <c r="Y24" s="37">
        <f>tbl_BA_activities[[#This Row],[Adjusted Duration in Hours]]-1*tbl_BA_activities[[#This Row],[sigma]]</f>
        <v>167.47554106315479</v>
      </c>
      <c r="Z24" s="37">
        <f>tbl_BA_activities[[#This Row],[Adjusted Duration in Hours]]-0*tbl_BA_activities[[#This Row],[sigma]]</f>
        <v>186.490155325757</v>
      </c>
      <c r="AA24" s="37">
        <f>tbl_BA_activities[[#This Row],[Adjusted Duration in Hours]]+1*tbl_BA_activities[[#This Row],[sigma]]</f>
        <v>205.50476958835921</v>
      </c>
      <c r="AB24" s="37">
        <f>tbl_BA_activities[[#This Row],[Adjusted Duration in Hours]]+2*tbl_BA_activities[[#This Row],[sigma]]</f>
        <v>224.51938385096142</v>
      </c>
      <c r="AC24" s="33" t="s">
        <v>191</v>
      </c>
      <c r="AD24" s="33" t="s">
        <v>186</v>
      </c>
      <c r="AE24" s="41"/>
      <c r="AF24" s="41"/>
      <c r="AG24" s="42">
        <v>0</v>
      </c>
      <c r="AH24" s="41"/>
      <c r="AI24" s="37" t="str">
        <f ca="1">IF(ISBLANK(tbl_BA_activities[[#This Row],[Due Date]]),"",IF(TODAY()&gt;tbl_BA_activities[[#This Row],[Due Date]],TODAY()-tbl_BA_activities[[#This Row],[Due Date]],0))</f>
        <v/>
      </c>
    </row>
    <row r="25" spans="2:35" ht="50.1" customHeight="1" x14ac:dyDescent="0.2">
      <c r="B25" s="33" t="s">
        <v>230</v>
      </c>
      <c r="C25" s="3" t="s">
        <v>231</v>
      </c>
      <c r="D25" s="24" t="s">
        <v>268</v>
      </c>
      <c r="E25" s="24" t="s">
        <v>268</v>
      </c>
      <c r="F25" s="24" t="s">
        <v>268</v>
      </c>
      <c r="G25" s="24" t="s">
        <v>268</v>
      </c>
      <c r="H25" s="24" t="s">
        <v>268</v>
      </c>
      <c r="I25" s="37">
        <v>24</v>
      </c>
      <c r="J25" s="37">
        <v>24</v>
      </c>
      <c r="K25" s="37">
        <v>17</v>
      </c>
      <c r="L25" s="39">
        <f>((tbl_BA_activities[[#This Row],[Worst]]+tbl_BA_activities[[#This Row],[ML]]+tbl_BA_activities[[#This Row],[Best]])/3)</f>
        <v>21.666666666666668</v>
      </c>
      <c r="M25" s="39">
        <f>((((tbl_BA_activities[[#This Row],[Worst]])- tbl_BA_activities[[#This Row],[Mean (of the number set)]])^2 +((tbl_BA_activities[[#This Row],[ML]])- tbl_BA_activities[[#This Row],[Mean (of the number set)]])^2+((tbl_BA_activities[[#This Row],[Best]])- tbl_BA_activities[[#This Row],[Mean (of the number set)]])^2)/3)</f>
        <v>10.888888888888891</v>
      </c>
      <c r="N25" s="39">
        <f>(((tbl_BA_activities[[#This Row],[Worst]])- tbl_BA_activities[[#This Row],[Mean (of the number set)]])^2 +((tbl_BA_activities[[#This Row],[ML]])- tbl_BA_activities[[#This Row],[Mean (of the number set)]])^2+((tbl_BA_activities[[#This Row],[Best]])- tbl_BA_activities[[#This Row],[Mean (of the number set)]])^2)</f>
        <v>32.666666666666671</v>
      </c>
      <c r="O25" s="39">
        <f>SQRT(tbl_BA_activities[[#This Row],[Variance (of the number set)]])</f>
        <v>3.2998316455372221</v>
      </c>
      <c r="P25" s="39">
        <f>IF(tbl_BA_activities[[#This Row],[ML]]=0,"",(tbl_BA_activities[[#This Row],[ML]]-tbl_BA_activities[[#This Row],[Mean (of the number set)]])/tbl_BA_activities[[#This Row],[sigma]])</f>
        <v>0.70710678118654713</v>
      </c>
      <c r="Q25" s="40">
        <v>0.24868095776887689</v>
      </c>
      <c r="R25" s="33" t="s">
        <v>189</v>
      </c>
      <c r="S25" s="33" t="s">
        <v>184</v>
      </c>
      <c r="T25" s="61">
        <f>IF(tbl_BA_activities[[#This Row],[Efficiency Adjustment]]="Efficient",0.8,IF(tbl_BA_activities[[#This Row],[Efficiency Adjustment]]="Average",0.7,IF(tbl_BA_activities[[#This Row],[Efficiency Adjustment]]="Inefficient",0.6,0)))</f>
        <v>0.7</v>
      </c>
      <c r="U25" s="61">
        <f>IF(tbl_BA_activities[[#This Row],[Proficiency Adjustment]]="Experienced",0.85,IF(tbl_BA_activities[[#This Row],[Proficiency Adjustment]]="Average",1,IF(tbl_BA_activities[[#This Row],[Proficiency Adjustment]]="Inexperienced",1.24,0)))</f>
        <v>0.85</v>
      </c>
      <c r="V25" s="25">
        <f>IF(OR(tbl_BA_activities[[#This Row],[Mean (of the number set)]]=0,tbl_BA_activities[[#This Row],[X]]=0,4=0),0,(tbl_BA_activities[[#This Row],[Mean (of the number set)]]/tbl_BA_activities[[#This Row],[X]])*tbl_BA_activities[[#This Row],[Y]])</f>
        <v>26.309523809523814</v>
      </c>
      <c r="W25" s="25">
        <f>IF(OR(tbl_BA_activities[[#This Row],[Mean (of the number set)]]=0,tbl_BA_activities[[#This Row],[X]]=0,4=0),0,tbl_BA_activities[[#This Row],[Adjusted Effort Hours]]/tbl_BA_activities[[#This Row],[Availability]])</f>
        <v>105.79629435871718</v>
      </c>
      <c r="X25" s="37">
        <f>tbl_BA_activities[[#This Row],[Adjusted Duration in Hours]]-2*tbl_BA_activities[[#This Row],[sigma]]</f>
        <v>99.196631067642727</v>
      </c>
      <c r="Y25" s="37">
        <f>tbl_BA_activities[[#This Row],[Adjusted Duration in Hours]]-1*tbl_BA_activities[[#This Row],[sigma]]</f>
        <v>102.49646271317995</v>
      </c>
      <c r="Z25" s="37">
        <f>tbl_BA_activities[[#This Row],[Adjusted Duration in Hours]]-0*tbl_BA_activities[[#This Row],[sigma]]</f>
        <v>105.79629435871718</v>
      </c>
      <c r="AA25" s="37">
        <f>tbl_BA_activities[[#This Row],[Adjusted Duration in Hours]]+1*tbl_BA_activities[[#This Row],[sigma]]</f>
        <v>109.0961260042544</v>
      </c>
      <c r="AB25" s="37">
        <f>tbl_BA_activities[[#This Row],[Adjusted Duration in Hours]]+2*tbl_BA_activities[[#This Row],[sigma]]</f>
        <v>112.39595764979163</v>
      </c>
      <c r="AC25" s="33" t="s">
        <v>194</v>
      </c>
      <c r="AD25" s="33" t="s">
        <v>186</v>
      </c>
      <c r="AE25" s="41"/>
      <c r="AF25" s="41"/>
      <c r="AG25" s="42">
        <v>0</v>
      </c>
      <c r="AH25" s="41"/>
      <c r="AI25" s="37" t="str">
        <f ca="1">IF(ISBLANK(tbl_BA_activities[[#This Row],[Due Date]]),"",IF(TODAY()&gt;tbl_BA_activities[[#This Row],[Due Date]],TODAY()-tbl_BA_activities[[#This Row],[Due Date]],0))</f>
        <v/>
      </c>
    </row>
    <row r="26" spans="2:35" ht="50.1" customHeight="1" x14ac:dyDescent="0.2">
      <c r="B26" s="33" t="s">
        <v>232</v>
      </c>
      <c r="C26" s="3" t="s">
        <v>233</v>
      </c>
      <c r="D26" s="24" t="s">
        <v>268</v>
      </c>
      <c r="E26" s="24" t="s">
        <v>268</v>
      </c>
      <c r="F26" s="24" t="s">
        <v>268</v>
      </c>
      <c r="G26" s="24" t="s">
        <v>268</v>
      </c>
      <c r="H26" s="24" t="s">
        <v>268</v>
      </c>
      <c r="I26" s="37">
        <v>63</v>
      </c>
      <c r="J26" s="37">
        <v>26</v>
      </c>
      <c r="K26" s="37">
        <v>15</v>
      </c>
      <c r="L26" s="39">
        <f>((tbl_BA_activities[[#This Row],[Worst]]+tbl_BA_activities[[#This Row],[ML]]+tbl_BA_activities[[#This Row],[Best]])/3)</f>
        <v>34.666666666666664</v>
      </c>
      <c r="M26" s="39">
        <f>((((tbl_BA_activities[[#This Row],[Worst]])- tbl_BA_activities[[#This Row],[Mean (of the number set)]])^2 +((tbl_BA_activities[[#This Row],[ML]])- tbl_BA_activities[[#This Row],[Mean (of the number set)]])^2+((tbl_BA_activities[[#This Row],[Best]])- tbl_BA_activities[[#This Row],[Mean (of the number set)]])^2)/3)</f>
        <v>421.5555555555556</v>
      </c>
      <c r="N26" s="39">
        <f>(((tbl_BA_activities[[#This Row],[Worst]])- tbl_BA_activities[[#This Row],[Mean (of the number set)]])^2 +((tbl_BA_activities[[#This Row],[ML]])- tbl_BA_activities[[#This Row],[Mean (of the number set)]])^2+((tbl_BA_activities[[#This Row],[Best]])- tbl_BA_activities[[#This Row],[Mean (of the number set)]])^2)</f>
        <v>1264.6666666666667</v>
      </c>
      <c r="O26" s="39">
        <f>SQRT(tbl_BA_activities[[#This Row],[Variance (of the number set)]])</f>
        <v>20.531818125912658</v>
      </c>
      <c r="P26" s="39">
        <f>IF(tbl_BA_activities[[#This Row],[ML]]=0,"",(tbl_BA_activities[[#This Row],[ML]]-tbl_BA_activities[[#This Row],[Mean (of the number set)]])/tbl_BA_activities[[#This Row],[sigma]])</f>
        <v>-0.42210907059071873</v>
      </c>
      <c r="Q26" s="40">
        <v>3.2019658188866873E-2</v>
      </c>
      <c r="R26" s="33" t="s">
        <v>189</v>
      </c>
      <c r="S26" s="33" t="s">
        <v>184</v>
      </c>
      <c r="T26" s="61">
        <f>IF(tbl_BA_activities[[#This Row],[Efficiency Adjustment]]="Efficient",0.8,IF(tbl_BA_activities[[#This Row],[Efficiency Adjustment]]="Average",0.7,IF(tbl_BA_activities[[#This Row],[Efficiency Adjustment]]="Inefficient",0.6,0)))</f>
        <v>0.7</v>
      </c>
      <c r="U26" s="61">
        <f>IF(tbl_BA_activities[[#This Row],[Proficiency Adjustment]]="Experienced",0.85,IF(tbl_BA_activities[[#This Row],[Proficiency Adjustment]]="Average",1,IF(tbl_BA_activities[[#This Row],[Proficiency Adjustment]]="Inexperienced",1.24,0)))</f>
        <v>0.85</v>
      </c>
      <c r="V26" s="25">
        <f>IF(OR(tbl_BA_activities[[#This Row],[Mean (of the number set)]]=0,tbl_BA_activities[[#This Row],[X]]=0,4=0),0,(tbl_BA_activities[[#This Row],[Mean (of the number set)]]/tbl_BA_activities[[#This Row],[X]])*tbl_BA_activities[[#This Row],[Y]])</f>
        <v>42.095238095238095</v>
      </c>
      <c r="W26" s="25">
        <f>IF(OR(tbl_BA_activities[[#This Row],[Mean (of the number set)]]=0,tbl_BA_activities[[#This Row],[X]]=0,4=0),0,tbl_BA_activities[[#This Row],[Adjusted Effort Hours]]/tbl_BA_activities[[#This Row],[Availability]])</f>
        <v>1314.6685653838263</v>
      </c>
      <c r="X26" s="37">
        <f>tbl_BA_activities[[#This Row],[Adjusted Duration in Hours]]-2*tbl_BA_activities[[#This Row],[sigma]]</f>
        <v>1273.604929132001</v>
      </c>
      <c r="Y26" s="37">
        <f>tbl_BA_activities[[#This Row],[Adjusted Duration in Hours]]-1*tbl_BA_activities[[#This Row],[sigma]]</f>
        <v>1294.1367472579136</v>
      </c>
      <c r="Z26" s="37">
        <f>tbl_BA_activities[[#This Row],[Adjusted Duration in Hours]]-0*tbl_BA_activities[[#This Row],[sigma]]</f>
        <v>1314.6685653838263</v>
      </c>
      <c r="AA26" s="37">
        <f>tbl_BA_activities[[#This Row],[Adjusted Duration in Hours]]+1*tbl_BA_activities[[#This Row],[sigma]]</f>
        <v>1335.2003835097389</v>
      </c>
      <c r="AB26" s="37">
        <f>tbl_BA_activities[[#This Row],[Adjusted Duration in Hours]]+2*tbl_BA_activities[[#This Row],[sigma]]</f>
        <v>1355.7322016356516</v>
      </c>
      <c r="AC26" s="33" t="s">
        <v>185</v>
      </c>
      <c r="AD26" s="33" t="s">
        <v>186</v>
      </c>
      <c r="AE26" s="41"/>
      <c r="AF26" s="41"/>
      <c r="AG26" s="42">
        <v>0</v>
      </c>
      <c r="AH26" s="41"/>
      <c r="AI26" s="37" t="str">
        <f ca="1">IF(ISBLANK(tbl_BA_activities[[#This Row],[Due Date]]),"",IF(TODAY()&gt;tbl_BA_activities[[#This Row],[Due Date]],TODAY()-tbl_BA_activities[[#This Row],[Due Date]],0))</f>
        <v/>
      </c>
    </row>
    <row r="27" spans="2:35" ht="50.1" customHeight="1" x14ac:dyDescent="0.2">
      <c r="B27" s="33" t="s">
        <v>234</v>
      </c>
      <c r="C27" s="3" t="s">
        <v>235</v>
      </c>
      <c r="D27" s="24" t="s">
        <v>268</v>
      </c>
      <c r="E27" s="24" t="s">
        <v>268</v>
      </c>
      <c r="F27" s="24" t="s">
        <v>268</v>
      </c>
      <c r="G27" s="24" t="s">
        <v>268</v>
      </c>
      <c r="H27" s="24" t="s">
        <v>268</v>
      </c>
      <c r="I27" s="37">
        <v>46</v>
      </c>
      <c r="J27" s="37">
        <v>32</v>
      </c>
      <c r="K27" s="37">
        <v>18</v>
      </c>
      <c r="L27" s="39">
        <f>((tbl_BA_activities[[#This Row],[Worst]]+tbl_BA_activities[[#This Row],[ML]]+tbl_BA_activities[[#This Row],[Best]])/3)</f>
        <v>32</v>
      </c>
      <c r="M27" s="39">
        <f>((((tbl_BA_activities[[#This Row],[Worst]])- tbl_BA_activities[[#This Row],[Mean (of the number set)]])^2 +((tbl_BA_activities[[#This Row],[ML]])- tbl_BA_activities[[#This Row],[Mean (of the number set)]])^2+((tbl_BA_activities[[#This Row],[Best]])- tbl_BA_activities[[#This Row],[Mean (of the number set)]])^2)/3)</f>
        <v>130.66666666666666</v>
      </c>
      <c r="N27" s="39">
        <f>(((tbl_BA_activities[[#This Row],[Worst]])- tbl_BA_activities[[#This Row],[Mean (of the number set)]])^2 +((tbl_BA_activities[[#This Row],[ML]])- tbl_BA_activities[[#This Row],[Mean (of the number set)]])^2+((tbl_BA_activities[[#This Row],[Best]])- tbl_BA_activities[[#This Row],[Mean (of the number set)]])^2)</f>
        <v>392</v>
      </c>
      <c r="O27" s="39">
        <f>SQRT(tbl_BA_activities[[#This Row],[Variance (of the number set)]])</f>
        <v>11.430952132988164</v>
      </c>
      <c r="P27" s="39">
        <f>IF(tbl_BA_activities[[#This Row],[ML]]=0,"",(tbl_BA_activities[[#This Row],[ML]]-tbl_BA_activities[[#This Row],[Mean (of the number set)]])/tbl_BA_activities[[#This Row],[sigma]])</f>
        <v>0</v>
      </c>
      <c r="Q27" s="40">
        <v>0.86740253676561463</v>
      </c>
      <c r="R27" s="33" t="s">
        <v>183</v>
      </c>
      <c r="S27" s="33" t="s">
        <v>184</v>
      </c>
      <c r="T27" s="61">
        <f>IF(tbl_BA_activities[[#This Row],[Efficiency Adjustment]]="Efficient",0.8,IF(tbl_BA_activities[[#This Row],[Efficiency Adjustment]]="Average",0.7,IF(tbl_BA_activities[[#This Row],[Efficiency Adjustment]]="Inefficient",0.6,0)))</f>
        <v>0.8</v>
      </c>
      <c r="U27" s="61">
        <f>IF(tbl_BA_activities[[#This Row],[Proficiency Adjustment]]="Experienced",0.85,IF(tbl_BA_activities[[#This Row],[Proficiency Adjustment]]="Average",1,IF(tbl_BA_activities[[#This Row],[Proficiency Adjustment]]="Inexperienced",1.24,0)))</f>
        <v>0.85</v>
      </c>
      <c r="V27" s="25">
        <f>IF(OR(tbl_BA_activities[[#This Row],[Mean (of the number set)]]=0,tbl_BA_activities[[#This Row],[X]]=0,4=0),0,(tbl_BA_activities[[#This Row],[Mean (of the number set)]]/tbl_BA_activities[[#This Row],[X]])*tbl_BA_activities[[#This Row],[Y]])</f>
        <v>34</v>
      </c>
      <c r="W27" s="25">
        <f>IF(OR(tbl_BA_activities[[#This Row],[Mean (of the number set)]]=0,tbl_BA_activities[[#This Row],[X]]=0,4=0),0,tbl_BA_activities[[#This Row],[Adjusted Effort Hours]]/tbl_BA_activities[[#This Row],[Availability]])</f>
        <v>39.197487393545998</v>
      </c>
      <c r="X27" s="37">
        <f>tbl_BA_activities[[#This Row],[Adjusted Duration in Hours]]-2*tbl_BA_activities[[#This Row],[sigma]]</f>
        <v>16.33558312756967</v>
      </c>
      <c r="Y27" s="37">
        <f>tbl_BA_activities[[#This Row],[Adjusted Duration in Hours]]-1*tbl_BA_activities[[#This Row],[sigma]]</f>
        <v>27.766535260557834</v>
      </c>
      <c r="Z27" s="37">
        <f>tbl_BA_activities[[#This Row],[Adjusted Duration in Hours]]-0*tbl_BA_activities[[#This Row],[sigma]]</f>
        <v>39.197487393545998</v>
      </c>
      <c r="AA27" s="37">
        <f>tbl_BA_activities[[#This Row],[Adjusted Duration in Hours]]+1*tbl_BA_activities[[#This Row],[sigma]]</f>
        <v>50.628439526534166</v>
      </c>
      <c r="AB27" s="37">
        <f>tbl_BA_activities[[#This Row],[Adjusted Duration in Hours]]+2*tbl_BA_activities[[#This Row],[sigma]]</f>
        <v>62.059391659522326</v>
      </c>
      <c r="AC27" s="33" t="s">
        <v>185</v>
      </c>
      <c r="AD27" s="33" t="s">
        <v>186</v>
      </c>
      <c r="AE27" s="41"/>
      <c r="AF27" s="41"/>
      <c r="AG27" s="42">
        <v>0</v>
      </c>
      <c r="AH27" s="41"/>
      <c r="AI27" s="37" t="str">
        <f ca="1">IF(ISBLANK(tbl_BA_activities[[#This Row],[Due Date]]),"",IF(TODAY()&gt;tbl_BA_activities[[#This Row],[Due Date]],TODAY()-tbl_BA_activities[[#This Row],[Due Date]],0))</f>
        <v/>
      </c>
    </row>
    <row r="28" spans="2:35" ht="50.1" customHeight="1" x14ac:dyDescent="0.2">
      <c r="B28" s="33" t="s">
        <v>236</v>
      </c>
      <c r="C28" s="3" t="s">
        <v>237</v>
      </c>
      <c r="D28" s="24" t="s">
        <v>268</v>
      </c>
      <c r="E28" s="24" t="s">
        <v>268</v>
      </c>
      <c r="F28" s="24" t="s">
        <v>268</v>
      </c>
      <c r="G28" s="24" t="s">
        <v>268</v>
      </c>
      <c r="H28" s="24" t="s">
        <v>268</v>
      </c>
      <c r="I28" s="37">
        <v>55</v>
      </c>
      <c r="J28" s="37">
        <v>30</v>
      </c>
      <c r="K28" s="37">
        <v>36</v>
      </c>
      <c r="L28" s="39">
        <f>((tbl_BA_activities[[#This Row],[Worst]]+tbl_BA_activities[[#This Row],[ML]]+tbl_BA_activities[[#This Row],[Best]])/3)</f>
        <v>40.333333333333336</v>
      </c>
      <c r="M28" s="39">
        <f>((((tbl_BA_activities[[#This Row],[Worst]])- tbl_BA_activities[[#This Row],[Mean (of the number set)]])^2 +((tbl_BA_activities[[#This Row],[ML]])- tbl_BA_activities[[#This Row],[Mean (of the number set)]])^2+((tbl_BA_activities[[#This Row],[Best]])- tbl_BA_activities[[#This Row],[Mean (of the number set)]])^2)/3)</f>
        <v>113.55555555555554</v>
      </c>
      <c r="N28" s="39">
        <f>(((tbl_BA_activities[[#This Row],[Worst]])- tbl_BA_activities[[#This Row],[Mean (of the number set)]])^2 +((tbl_BA_activities[[#This Row],[ML]])- tbl_BA_activities[[#This Row],[Mean (of the number set)]])^2+((tbl_BA_activities[[#This Row],[Best]])- tbl_BA_activities[[#This Row],[Mean (of the number set)]])^2)</f>
        <v>340.66666666666663</v>
      </c>
      <c r="O28" s="39">
        <f>SQRT(tbl_BA_activities[[#This Row],[Variance (of the number set)]])</f>
        <v>10.656244908763853</v>
      </c>
      <c r="P28" s="39">
        <f>IF(tbl_BA_activities[[#This Row],[ML]]=0,"",(tbl_BA_activities[[#This Row],[ML]]-tbl_BA_activities[[#This Row],[Mean (of the number set)]])/tbl_BA_activities[[#This Row],[sigma]])</f>
        <v>-0.96969743298927469</v>
      </c>
      <c r="Q28" s="40">
        <v>0.79694123110413728</v>
      </c>
      <c r="R28" s="33" t="s">
        <v>189</v>
      </c>
      <c r="S28" s="33" t="s">
        <v>189</v>
      </c>
      <c r="T28" s="61">
        <f>IF(tbl_BA_activities[[#This Row],[Efficiency Adjustment]]="Efficient",0.8,IF(tbl_BA_activities[[#This Row],[Efficiency Adjustment]]="Average",0.7,IF(tbl_BA_activities[[#This Row],[Efficiency Adjustment]]="Inefficient",0.6,0)))</f>
        <v>0.7</v>
      </c>
      <c r="U28" s="61">
        <f>IF(tbl_BA_activities[[#This Row],[Proficiency Adjustment]]="Experienced",0.85,IF(tbl_BA_activities[[#This Row],[Proficiency Adjustment]]="Average",1,IF(tbl_BA_activities[[#This Row],[Proficiency Adjustment]]="Inexperienced",1.24,0)))</f>
        <v>1</v>
      </c>
      <c r="V28" s="25">
        <f>IF(OR(tbl_BA_activities[[#This Row],[Mean (of the number set)]]=0,tbl_BA_activities[[#This Row],[X]]=0,4=0),0,(tbl_BA_activities[[#This Row],[Mean (of the number set)]]/tbl_BA_activities[[#This Row],[X]])*tbl_BA_activities[[#This Row],[Y]])</f>
        <v>57.619047619047628</v>
      </c>
      <c r="W28" s="25">
        <f>IF(OR(tbl_BA_activities[[#This Row],[Mean (of the number set)]]=0,tbl_BA_activities[[#This Row],[X]]=0,4=0),0,tbl_BA_activities[[#This Row],[Adjusted Effort Hours]]/tbl_BA_activities[[#This Row],[Availability]])</f>
        <v>72.300246706044092</v>
      </c>
      <c r="X28" s="37">
        <f>tbl_BA_activities[[#This Row],[Adjusted Duration in Hours]]-2*tbl_BA_activities[[#This Row],[sigma]]</f>
        <v>50.987756888516387</v>
      </c>
      <c r="Y28" s="37">
        <f>tbl_BA_activities[[#This Row],[Adjusted Duration in Hours]]-1*tbl_BA_activities[[#This Row],[sigma]]</f>
        <v>61.644001797280239</v>
      </c>
      <c r="Z28" s="37">
        <f>tbl_BA_activities[[#This Row],[Adjusted Duration in Hours]]-0*tbl_BA_activities[[#This Row],[sigma]]</f>
        <v>72.300246706044092</v>
      </c>
      <c r="AA28" s="37">
        <f>tbl_BA_activities[[#This Row],[Adjusted Duration in Hours]]+1*tbl_BA_activities[[#This Row],[sigma]]</f>
        <v>82.956491614807945</v>
      </c>
      <c r="AB28" s="37">
        <f>tbl_BA_activities[[#This Row],[Adjusted Duration in Hours]]+2*tbl_BA_activities[[#This Row],[sigma]]</f>
        <v>93.612736523571797</v>
      </c>
      <c r="AC28" s="33" t="s">
        <v>191</v>
      </c>
      <c r="AD28" s="33" t="s">
        <v>186</v>
      </c>
      <c r="AE28" s="41"/>
      <c r="AF28" s="41"/>
      <c r="AG28" s="42">
        <v>0</v>
      </c>
      <c r="AH28" s="41"/>
      <c r="AI28" s="37" t="str">
        <f ca="1">IF(ISBLANK(tbl_BA_activities[[#This Row],[Due Date]]),"",IF(TODAY()&gt;tbl_BA_activities[[#This Row],[Due Date]],TODAY()-tbl_BA_activities[[#This Row],[Due Date]],0))</f>
        <v/>
      </c>
    </row>
    <row r="29" spans="2:35" ht="50.1" customHeight="1" x14ac:dyDescent="0.2">
      <c r="B29" s="33" t="s">
        <v>238</v>
      </c>
      <c r="C29" s="3" t="s">
        <v>239</v>
      </c>
      <c r="D29" s="24" t="s">
        <v>268</v>
      </c>
      <c r="E29" s="24" t="s">
        <v>268</v>
      </c>
      <c r="F29" s="24" t="s">
        <v>268</v>
      </c>
      <c r="G29" s="24" t="s">
        <v>268</v>
      </c>
      <c r="H29" s="24" t="s">
        <v>268</v>
      </c>
      <c r="I29" s="37">
        <v>34</v>
      </c>
      <c r="J29" s="37">
        <v>23</v>
      </c>
      <c r="K29" s="37">
        <v>20</v>
      </c>
      <c r="L29" s="39">
        <f>((tbl_BA_activities[[#This Row],[Worst]]+tbl_BA_activities[[#This Row],[ML]]+tbl_BA_activities[[#This Row],[Best]])/3)</f>
        <v>25.666666666666668</v>
      </c>
      <c r="M29" s="39">
        <f>((((tbl_BA_activities[[#This Row],[Worst]])- tbl_BA_activities[[#This Row],[Mean (of the number set)]])^2 +((tbl_BA_activities[[#This Row],[ML]])- tbl_BA_activities[[#This Row],[Mean (of the number set)]])^2+((tbl_BA_activities[[#This Row],[Best]])- tbl_BA_activities[[#This Row],[Mean (of the number set)]])^2)/3)</f>
        <v>36.222222222222221</v>
      </c>
      <c r="N29" s="39">
        <f>(((tbl_BA_activities[[#This Row],[Worst]])- tbl_BA_activities[[#This Row],[Mean (of the number set)]])^2 +((tbl_BA_activities[[#This Row],[ML]])- tbl_BA_activities[[#This Row],[Mean (of the number set)]])^2+((tbl_BA_activities[[#This Row],[Best]])- tbl_BA_activities[[#This Row],[Mean (of the number set)]])^2)</f>
        <v>108.66666666666666</v>
      </c>
      <c r="O29" s="39">
        <f>SQRT(tbl_BA_activities[[#This Row],[Variance (of the number set)]])</f>
        <v>6.0184900284225957</v>
      </c>
      <c r="P29" s="39">
        <f>IF(tbl_BA_activities[[#This Row],[ML]]=0,"",(tbl_BA_activities[[#This Row],[ML]]-tbl_BA_activities[[#This Row],[Mean (of the number set)]])/tbl_BA_activities[[#This Row],[sigma]])</f>
        <v>-0.44307902049736925</v>
      </c>
      <c r="Q29" s="40">
        <v>0.12810688383906532</v>
      </c>
      <c r="R29" s="33" t="s">
        <v>197</v>
      </c>
      <c r="S29" s="33" t="s">
        <v>184</v>
      </c>
      <c r="T29" s="61">
        <f>IF(tbl_BA_activities[[#This Row],[Efficiency Adjustment]]="Efficient",0.8,IF(tbl_BA_activities[[#This Row],[Efficiency Adjustment]]="Average",0.7,IF(tbl_BA_activities[[#This Row],[Efficiency Adjustment]]="Inefficient",0.6,0)))</f>
        <v>0.6</v>
      </c>
      <c r="U29" s="61">
        <f>IF(tbl_BA_activities[[#This Row],[Proficiency Adjustment]]="Experienced",0.85,IF(tbl_BA_activities[[#This Row],[Proficiency Adjustment]]="Average",1,IF(tbl_BA_activities[[#This Row],[Proficiency Adjustment]]="Inexperienced",1.24,0)))</f>
        <v>0.85</v>
      </c>
      <c r="V29" s="25">
        <f>IF(OR(tbl_BA_activities[[#This Row],[Mean (of the number set)]]=0,tbl_BA_activities[[#This Row],[X]]=0,4=0),0,(tbl_BA_activities[[#This Row],[Mean (of the number set)]]/tbl_BA_activities[[#This Row],[X]])*tbl_BA_activities[[#This Row],[Y]])</f>
        <v>36.361111111111114</v>
      </c>
      <c r="W29" s="25">
        <f>IF(OR(tbl_BA_activities[[#This Row],[Mean (of the number set)]]=0,tbl_BA_activities[[#This Row],[X]]=0,4=0),0,tbl_BA_activities[[#This Row],[Adjusted Effort Hours]]/tbl_BA_activities[[#This Row],[Availability]])</f>
        <v>283.83417051022701</v>
      </c>
      <c r="X29" s="37">
        <f>tbl_BA_activities[[#This Row],[Adjusted Duration in Hours]]-2*tbl_BA_activities[[#This Row],[sigma]]</f>
        <v>271.7971904533818</v>
      </c>
      <c r="Y29" s="37">
        <f>tbl_BA_activities[[#This Row],[Adjusted Duration in Hours]]-1*tbl_BA_activities[[#This Row],[sigma]]</f>
        <v>277.81568048180441</v>
      </c>
      <c r="Z29" s="37">
        <f>tbl_BA_activities[[#This Row],[Adjusted Duration in Hours]]-0*tbl_BA_activities[[#This Row],[sigma]]</f>
        <v>283.83417051022701</v>
      </c>
      <c r="AA29" s="37">
        <f>tbl_BA_activities[[#This Row],[Adjusted Duration in Hours]]+1*tbl_BA_activities[[#This Row],[sigma]]</f>
        <v>289.85266053864962</v>
      </c>
      <c r="AB29" s="37">
        <f>tbl_BA_activities[[#This Row],[Adjusted Duration in Hours]]+2*tbl_BA_activities[[#This Row],[sigma]]</f>
        <v>295.87115056707222</v>
      </c>
      <c r="AC29" s="33" t="s">
        <v>185</v>
      </c>
      <c r="AD29" s="33" t="s">
        <v>186</v>
      </c>
      <c r="AE29" s="41"/>
      <c r="AF29" s="41"/>
      <c r="AG29" s="42">
        <v>0</v>
      </c>
      <c r="AH29" s="41"/>
      <c r="AI29" s="37" t="str">
        <f ca="1">IF(ISBLANK(tbl_BA_activities[[#This Row],[Due Date]]),"",IF(TODAY()&gt;tbl_BA_activities[[#This Row],[Due Date]],TODAY()-tbl_BA_activities[[#This Row],[Due Date]],0))</f>
        <v/>
      </c>
    </row>
    <row r="30" spans="2:35" ht="50.1" customHeight="1" x14ac:dyDescent="0.2">
      <c r="B30" s="33" t="s">
        <v>240</v>
      </c>
      <c r="C30" s="3" t="s">
        <v>241</v>
      </c>
      <c r="D30" s="24" t="s">
        <v>268</v>
      </c>
      <c r="E30" s="24" t="s">
        <v>268</v>
      </c>
      <c r="F30" s="24" t="s">
        <v>268</v>
      </c>
      <c r="G30" s="24" t="s">
        <v>268</v>
      </c>
      <c r="H30" s="24" t="s">
        <v>268</v>
      </c>
      <c r="I30" s="37">
        <v>34</v>
      </c>
      <c r="J30" s="37">
        <v>29</v>
      </c>
      <c r="K30" s="37">
        <v>27</v>
      </c>
      <c r="L30" s="39">
        <f>((tbl_BA_activities[[#This Row],[Worst]]+tbl_BA_activities[[#This Row],[ML]]+tbl_BA_activities[[#This Row],[Best]])/3)</f>
        <v>30</v>
      </c>
      <c r="M30" s="39">
        <f>((((tbl_BA_activities[[#This Row],[Worst]])- tbl_BA_activities[[#This Row],[Mean (of the number set)]])^2 +((tbl_BA_activities[[#This Row],[ML]])- tbl_BA_activities[[#This Row],[Mean (of the number set)]])^2+((tbl_BA_activities[[#This Row],[Best]])- tbl_BA_activities[[#This Row],[Mean (of the number set)]])^2)/3)</f>
        <v>8.6666666666666661</v>
      </c>
      <c r="N30" s="39">
        <f>(((tbl_BA_activities[[#This Row],[Worst]])- tbl_BA_activities[[#This Row],[Mean (of the number set)]])^2 +((tbl_BA_activities[[#This Row],[ML]])- tbl_BA_activities[[#This Row],[Mean (of the number set)]])^2+((tbl_BA_activities[[#This Row],[Best]])- tbl_BA_activities[[#This Row],[Mean (of the number set)]])^2)</f>
        <v>26</v>
      </c>
      <c r="O30" s="39">
        <f>SQRT(tbl_BA_activities[[#This Row],[Variance (of the number set)]])</f>
        <v>2.9439202887759488</v>
      </c>
      <c r="P30" s="39">
        <f>IF(tbl_BA_activities[[#This Row],[ML]]=0,"",(tbl_BA_activities[[#This Row],[ML]]-tbl_BA_activities[[#This Row],[Mean (of the number set)]])/tbl_BA_activities[[#This Row],[sigma]])</f>
        <v>-0.33968311024337872</v>
      </c>
      <c r="Q30" s="40">
        <v>0.9225385304300221</v>
      </c>
      <c r="R30" s="33" t="s">
        <v>183</v>
      </c>
      <c r="S30" s="33" t="s">
        <v>189</v>
      </c>
      <c r="T30" s="61">
        <f>IF(tbl_BA_activities[[#This Row],[Efficiency Adjustment]]="Efficient",0.8,IF(tbl_BA_activities[[#This Row],[Efficiency Adjustment]]="Average",0.7,IF(tbl_BA_activities[[#This Row],[Efficiency Adjustment]]="Inefficient",0.6,0)))</f>
        <v>0.8</v>
      </c>
      <c r="U30" s="61">
        <f>IF(tbl_BA_activities[[#This Row],[Proficiency Adjustment]]="Experienced",0.85,IF(tbl_BA_activities[[#This Row],[Proficiency Adjustment]]="Average",1,IF(tbl_BA_activities[[#This Row],[Proficiency Adjustment]]="Inexperienced",1.24,0)))</f>
        <v>1</v>
      </c>
      <c r="V30" s="25">
        <f>IF(OR(tbl_BA_activities[[#This Row],[Mean (of the number set)]]=0,tbl_BA_activities[[#This Row],[X]]=0,4=0),0,(tbl_BA_activities[[#This Row],[Mean (of the number set)]]/tbl_BA_activities[[#This Row],[X]])*tbl_BA_activities[[#This Row],[Y]])</f>
        <v>37.5</v>
      </c>
      <c r="W30" s="25">
        <f>IF(OR(tbl_BA_activities[[#This Row],[Mean (of the number set)]]=0,tbl_BA_activities[[#This Row],[X]]=0,4=0),0,tbl_BA_activities[[#This Row],[Adjusted Effort Hours]]/tbl_BA_activities[[#This Row],[Availability]])</f>
        <v>40.648708713033542</v>
      </c>
      <c r="X30" s="37">
        <f>tbl_BA_activities[[#This Row],[Adjusted Duration in Hours]]-2*tbl_BA_activities[[#This Row],[sigma]]</f>
        <v>34.760868135481644</v>
      </c>
      <c r="Y30" s="37">
        <f>tbl_BA_activities[[#This Row],[Adjusted Duration in Hours]]-1*tbl_BA_activities[[#This Row],[sigma]]</f>
        <v>37.704788424257593</v>
      </c>
      <c r="Z30" s="37">
        <f>tbl_BA_activities[[#This Row],[Adjusted Duration in Hours]]-0*tbl_BA_activities[[#This Row],[sigma]]</f>
        <v>40.648708713033542</v>
      </c>
      <c r="AA30" s="37">
        <f>tbl_BA_activities[[#This Row],[Adjusted Duration in Hours]]+1*tbl_BA_activities[[#This Row],[sigma]]</f>
        <v>43.592629001809492</v>
      </c>
      <c r="AB30" s="37">
        <f>tbl_BA_activities[[#This Row],[Adjusted Duration in Hours]]+2*tbl_BA_activities[[#This Row],[sigma]]</f>
        <v>46.536549290585441</v>
      </c>
      <c r="AC30" s="33" t="s">
        <v>191</v>
      </c>
      <c r="AD30" s="33" t="s">
        <v>186</v>
      </c>
      <c r="AE30" s="41"/>
      <c r="AF30" s="41"/>
      <c r="AG30" s="42">
        <v>0</v>
      </c>
      <c r="AH30" s="41"/>
      <c r="AI30" s="37" t="str">
        <f ca="1">IF(ISBLANK(tbl_BA_activities[[#This Row],[Due Date]]),"",IF(TODAY()&gt;tbl_BA_activities[[#This Row],[Due Date]],TODAY()-tbl_BA_activities[[#This Row],[Due Date]],0))</f>
        <v/>
      </c>
    </row>
    <row r="31" spans="2:35" ht="50.1" customHeight="1" x14ac:dyDescent="0.2">
      <c r="B31" s="33" t="s">
        <v>242</v>
      </c>
      <c r="C31" s="3" t="s">
        <v>243</v>
      </c>
      <c r="D31" s="24" t="s">
        <v>268</v>
      </c>
      <c r="E31" s="24" t="s">
        <v>268</v>
      </c>
      <c r="F31" s="24" t="s">
        <v>268</v>
      </c>
      <c r="G31" s="24" t="s">
        <v>268</v>
      </c>
      <c r="H31" s="24" t="s">
        <v>268</v>
      </c>
      <c r="I31" s="37">
        <v>68</v>
      </c>
      <c r="J31" s="37">
        <v>22</v>
      </c>
      <c r="K31" s="37">
        <v>19</v>
      </c>
      <c r="L31" s="39">
        <f>((tbl_BA_activities[[#This Row],[Worst]]+tbl_BA_activities[[#This Row],[ML]]+tbl_BA_activities[[#This Row],[Best]])/3)</f>
        <v>36.333333333333336</v>
      </c>
      <c r="M31" s="39">
        <f>((((tbl_BA_activities[[#This Row],[Worst]])- tbl_BA_activities[[#This Row],[Mean (of the number set)]])^2 +((tbl_BA_activities[[#This Row],[ML]])- tbl_BA_activities[[#This Row],[Mean (of the number set)]])^2+((tbl_BA_activities[[#This Row],[Best]])- tbl_BA_activities[[#This Row],[Mean (of the number set)]])^2)/3)</f>
        <v>502.88888888888891</v>
      </c>
      <c r="N31" s="39">
        <f>(((tbl_BA_activities[[#This Row],[Worst]])- tbl_BA_activities[[#This Row],[Mean (of the number set)]])^2 +((tbl_BA_activities[[#This Row],[ML]])- tbl_BA_activities[[#This Row],[Mean (of the number set)]])^2+((tbl_BA_activities[[#This Row],[Best]])- tbl_BA_activities[[#This Row],[Mean (of the number set)]])^2)</f>
        <v>1508.6666666666667</v>
      </c>
      <c r="O31" s="39">
        <f>SQRT(tbl_BA_activities[[#This Row],[Variance (of the number set)]])</f>
        <v>22.425184255405547</v>
      </c>
      <c r="P31" s="39">
        <f>IF(tbl_BA_activities[[#This Row],[ML]]=0,"",(tbl_BA_activities[[#This Row],[ML]]-tbl_BA_activities[[#This Row],[Mean (of the number set)]])/tbl_BA_activities[[#This Row],[sigma]])</f>
        <v>-0.63916234400073269</v>
      </c>
      <c r="Q31" s="40">
        <v>0.64740245311573874</v>
      </c>
      <c r="R31" s="33" t="s">
        <v>183</v>
      </c>
      <c r="S31" s="33" t="s">
        <v>189</v>
      </c>
      <c r="T31" s="61">
        <f>IF(tbl_BA_activities[[#This Row],[Efficiency Adjustment]]="Efficient",0.8,IF(tbl_BA_activities[[#This Row],[Efficiency Adjustment]]="Average",0.7,IF(tbl_BA_activities[[#This Row],[Efficiency Adjustment]]="Inefficient",0.6,0)))</f>
        <v>0.8</v>
      </c>
      <c r="U31" s="61">
        <f>IF(tbl_BA_activities[[#This Row],[Proficiency Adjustment]]="Experienced",0.85,IF(tbl_BA_activities[[#This Row],[Proficiency Adjustment]]="Average",1,IF(tbl_BA_activities[[#This Row],[Proficiency Adjustment]]="Inexperienced",1.24,0)))</f>
        <v>1</v>
      </c>
      <c r="V31" s="25">
        <f>IF(OR(tbl_BA_activities[[#This Row],[Mean (of the number set)]]=0,tbl_BA_activities[[#This Row],[X]]=0,4=0),0,(tbl_BA_activities[[#This Row],[Mean (of the number set)]]/tbl_BA_activities[[#This Row],[X]])*tbl_BA_activities[[#This Row],[Y]])</f>
        <v>45.416666666666664</v>
      </c>
      <c r="W31" s="25">
        <f>IF(OR(tbl_BA_activities[[#This Row],[Mean (of the number set)]]=0,tbl_BA_activities[[#This Row],[X]]=0,4=0),0,tbl_BA_activities[[#This Row],[Adjusted Effort Hours]]/tbl_BA_activities[[#This Row],[Availability]])</f>
        <v>70.152138670607329</v>
      </c>
      <c r="X31" s="37">
        <f>tbl_BA_activities[[#This Row],[Adjusted Duration in Hours]]-2*tbl_BA_activities[[#This Row],[sigma]]</f>
        <v>25.301770159796234</v>
      </c>
      <c r="Y31" s="37">
        <f>tbl_BA_activities[[#This Row],[Adjusted Duration in Hours]]-1*tbl_BA_activities[[#This Row],[sigma]]</f>
        <v>47.726954415201782</v>
      </c>
      <c r="Z31" s="37">
        <f>tbl_BA_activities[[#This Row],[Adjusted Duration in Hours]]-0*tbl_BA_activities[[#This Row],[sigma]]</f>
        <v>70.152138670607329</v>
      </c>
      <c r="AA31" s="37">
        <f>tbl_BA_activities[[#This Row],[Adjusted Duration in Hours]]+1*tbl_BA_activities[[#This Row],[sigma]]</f>
        <v>92.577322926012869</v>
      </c>
      <c r="AB31" s="37">
        <f>tbl_BA_activities[[#This Row],[Adjusted Duration in Hours]]+2*tbl_BA_activities[[#This Row],[sigma]]</f>
        <v>115.00250718141842</v>
      </c>
      <c r="AC31" s="33" t="s">
        <v>194</v>
      </c>
      <c r="AD31" s="33" t="s">
        <v>186</v>
      </c>
      <c r="AE31" s="41"/>
      <c r="AF31" s="41"/>
      <c r="AG31" s="42">
        <v>0</v>
      </c>
      <c r="AH31" s="41"/>
      <c r="AI31" s="37" t="str">
        <f ca="1">IF(ISBLANK(tbl_BA_activities[[#This Row],[Due Date]]),"",IF(TODAY()&gt;tbl_BA_activities[[#This Row],[Due Date]],TODAY()-tbl_BA_activities[[#This Row],[Due Date]],0))</f>
        <v/>
      </c>
    </row>
    <row r="32" spans="2:35" ht="50.1" customHeight="1" x14ac:dyDescent="0.2">
      <c r="B32" s="33" t="s">
        <v>244</v>
      </c>
      <c r="C32" s="3" t="s">
        <v>245</v>
      </c>
      <c r="D32" s="24" t="s">
        <v>268</v>
      </c>
      <c r="E32" s="24" t="s">
        <v>268</v>
      </c>
      <c r="F32" s="24" t="s">
        <v>268</v>
      </c>
      <c r="G32" s="24" t="s">
        <v>268</v>
      </c>
      <c r="H32" s="24" t="s">
        <v>268</v>
      </c>
      <c r="I32" s="37">
        <v>48</v>
      </c>
      <c r="J32" s="37">
        <v>26</v>
      </c>
      <c r="K32" s="37">
        <v>23</v>
      </c>
      <c r="L32" s="39">
        <f>((tbl_BA_activities[[#This Row],[Worst]]+tbl_BA_activities[[#This Row],[ML]]+tbl_BA_activities[[#This Row],[Best]])/3)</f>
        <v>32.333333333333336</v>
      </c>
      <c r="M32" s="39">
        <f>((((tbl_BA_activities[[#This Row],[Worst]])- tbl_BA_activities[[#This Row],[Mean (of the number set)]])^2 +((tbl_BA_activities[[#This Row],[ML]])- tbl_BA_activities[[#This Row],[Mean (of the number set)]])^2+((tbl_BA_activities[[#This Row],[Best]])- tbl_BA_activities[[#This Row],[Mean (of the number set)]])^2)/3)</f>
        <v>124.22222222222223</v>
      </c>
      <c r="N32" s="39">
        <f>(((tbl_BA_activities[[#This Row],[Worst]])- tbl_BA_activities[[#This Row],[Mean (of the number set)]])^2 +((tbl_BA_activities[[#This Row],[ML]])- tbl_BA_activities[[#This Row],[Mean (of the number set)]])^2+((tbl_BA_activities[[#This Row],[Best]])- tbl_BA_activities[[#This Row],[Mean (of the number set)]])^2)</f>
        <v>372.66666666666669</v>
      </c>
      <c r="O32" s="39">
        <f>SQRT(tbl_BA_activities[[#This Row],[Variance (of the number set)]])</f>
        <v>11.14550233153366</v>
      </c>
      <c r="P32" s="39">
        <f>IF(tbl_BA_activities[[#This Row],[ML]]=0,"",(tbl_BA_activities[[#This Row],[ML]]-tbl_BA_activities[[#This Row],[Mean (of the number set)]])/tbl_BA_activities[[#This Row],[sigma]])</f>
        <v>-0.5682411743268504</v>
      </c>
      <c r="Q32" s="40">
        <v>0.52740772359082289</v>
      </c>
      <c r="R32" s="33" t="s">
        <v>189</v>
      </c>
      <c r="S32" s="33" t="s">
        <v>189</v>
      </c>
      <c r="T32" s="61">
        <f>IF(tbl_BA_activities[[#This Row],[Efficiency Adjustment]]="Efficient",0.8,IF(tbl_BA_activities[[#This Row],[Efficiency Adjustment]]="Average",0.7,IF(tbl_BA_activities[[#This Row],[Efficiency Adjustment]]="Inefficient",0.6,0)))</f>
        <v>0.7</v>
      </c>
      <c r="U32" s="61">
        <f>IF(tbl_BA_activities[[#This Row],[Proficiency Adjustment]]="Experienced",0.85,IF(tbl_BA_activities[[#This Row],[Proficiency Adjustment]]="Average",1,IF(tbl_BA_activities[[#This Row],[Proficiency Adjustment]]="Inexperienced",1.24,0)))</f>
        <v>1</v>
      </c>
      <c r="V32" s="25">
        <f>IF(OR(tbl_BA_activities[[#This Row],[Mean (of the number set)]]=0,tbl_BA_activities[[#This Row],[X]]=0,4=0),0,(tbl_BA_activities[[#This Row],[Mean (of the number set)]]/tbl_BA_activities[[#This Row],[X]])*tbl_BA_activities[[#This Row],[Y]])</f>
        <v>46.190476190476197</v>
      </c>
      <c r="W32" s="25">
        <f>IF(OR(tbl_BA_activities[[#This Row],[Mean (of the number set)]]=0,tbl_BA_activities[[#This Row],[X]]=0,4=0),0,tbl_BA_activities[[#This Row],[Adjusted Effort Hours]]/tbl_BA_activities[[#This Row],[Availability]])</f>
        <v>87.580204317053216</v>
      </c>
      <c r="X32" s="37">
        <f>tbl_BA_activities[[#This Row],[Adjusted Duration in Hours]]-2*tbl_BA_activities[[#This Row],[sigma]]</f>
        <v>65.289199653985889</v>
      </c>
      <c r="Y32" s="37">
        <f>tbl_BA_activities[[#This Row],[Adjusted Duration in Hours]]-1*tbl_BA_activities[[#This Row],[sigma]]</f>
        <v>76.434701985519553</v>
      </c>
      <c r="Z32" s="37">
        <f>tbl_BA_activities[[#This Row],[Adjusted Duration in Hours]]-0*tbl_BA_activities[[#This Row],[sigma]]</f>
        <v>87.580204317053216</v>
      </c>
      <c r="AA32" s="37">
        <f>tbl_BA_activities[[#This Row],[Adjusted Duration in Hours]]+1*tbl_BA_activities[[#This Row],[sigma]]</f>
        <v>98.725706648586879</v>
      </c>
      <c r="AB32" s="37">
        <f>tbl_BA_activities[[#This Row],[Adjusted Duration in Hours]]+2*tbl_BA_activities[[#This Row],[sigma]]</f>
        <v>109.87120898012054</v>
      </c>
      <c r="AC32" s="33" t="s">
        <v>185</v>
      </c>
      <c r="AD32" s="33" t="s">
        <v>186</v>
      </c>
      <c r="AE32" s="41"/>
      <c r="AF32" s="41"/>
      <c r="AG32" s="42">
        <v>0</v>
      </c>
      <c r="AH32" s="41"/>
      <c r="AI32" s="37" t="str">
        <f ca="1">IF(ISBLANK(tbl_BA_activities[[#This Row],[Due Date]]),"",IF(TODAY()&gt;tbl_BA_activities[[#This Row],[Due Date]],TODAY()-tbl_BA_activities[[#This Row],[Due Date]],0))</f>
        <v/>
      </c>
    </row>
    <row r="33" spans="2:35" ht="50.1" customHeight="1" x14ac:dyDescent="0.2">
      <c r="B33" s="33" t="s">
        <v>246</v>
      </c>
      <c r="C33" s="3" t="s">
        <v>247</v>
      </c>
      <c r="D33" s="24" t="s">
        <v>268</v>
      </c>
      <c r="E33" s="24" t="s">
        <v>268</v>
      </c>
      <c r="F33" s="24" t="s">
        <v>268</v>
      </c>
      <c r="G33" s="24" t="s">
        <v>268</v>
      </c>
      <c r="H33" s="24" t="s">
        <v>268</v>
      </c>
      <c r="I33" s="37">
        <v>21</v>
      </c>
      <c r="J33" s="37">
        <v>32</v>
      </c>
      <c r="K33" s="37">
        <v>13</v>
      </c>
      <c r="L33" s="39">
        <f>((tbl_BA_activities[[#This Row],[Worst]]+tbl_BA_activities[[#This Row],[ML]]+tbl_BA_activities[[#This Row],[Best]])/3)</f>
        <v>22</v>
      </c>
      <c r="M33" s="39">
        <f>((((tbl_BA_activities[[#This Row],[Worst]])- tbl_BA_activities[[#This Row],[Mean (of the number set)]])^2 +((tbl_BA_activities[[#This Row],[ML]])- tbl_BA_activities[[#This Row],[Mean (of the number set)]])^2+((tbl_BA_activities[[#This Row],[Best]])- tbl_BA_activities[[#This Row],[Mean (of the number set)]])^2)/3)</f>
        <v>60.666666666666664</v>
      </c>
      <c r="N33" s="39">
        <f>(((tbl_BA_activities[[#This Row],[Worst]])- tbl_BA_activities[[#This Row],[Mean (of the number set)]])^2 +((tbl_BA_activities[[#This Row],[ML]])- tbl_BA_activities[[#This Row],[Mean (of the number set)]])^2+((tbl_BA_activities[[#This Row],[Best]])- tbl_BA_activities[[#This Row],[Mean (of the number set)]])^2)</f>
        <v>182</v>
      </c>
      <c r="O33" s="39">
        <f>SQRT(tbl_BA_activities[[#This Row],[Variance (of the number set)]])</f>
        <v>7.7888809636986149</v>
      </c>
      <c r="P33" s="39">
        <f>IF(tbl_BA_activities[[#This Row],[ML]]=0,"",(tbl_BA_activities[[#This Row],[ML]]-tbl_BA_activities[[#This Row],[Mean (of the number set)]])/tbl_BA_activities[[#This Row],[sigma]])</f>
        <v>1.2838814775327387</v>
      </c>
      <c r="Q33" s="40">
        <v>0.18989370124102045</v>
      </c>
      <c r="R33" s="33" t="s">
        <v>189</v>
      </c>
      <c r="S33" s="33" t="s">
        <v>184</v>
      </c>
      <c r="T33" s="61">
        <f>IF(tbl_BA_activities[[#This Row],[Efficiency Adjustment]]="Efficient",0.8,IF(tbl_BA_activities[[#This Row],[Efficiency Adjustment]]="Average",0.7,IF(tbl_BA_activities[[#This Row],[Efficiency Adjustment]]="Inefficient",0.6,0)))</f>
        <v>0.7</v>
      </c>
      <c r="U33" s="61">
        <f>IF(tbl_BA_activities[[#This Row],[Proficiency Adjustment]]="Experienced",0.85,IF(tbl_BA_activities[[#This Row],[Proficiency Adjustment]]="Average",1,IF(tbl_BA_activities[[#This Row],[Proficiency Adjustment]]="Inexperienced",1.24,0)))</f>
        <v>0.85</v>
      </c>
      <c r="V33" s="25">
        <f>IF(OR(tbl_BA_activities[[#This Row],[Mean (of the number set)]]=0,tbl_BA_activities[[#This Row],[X]]=0,4=0),0,(tbl_BA_activities[[#This Row],[Mean (of the number set)]]/tbl_BA_activities[[#This Row],[X]])*tbl_BA_activities[[#This Row],[Y]])</f>
        <v>26.714285714285715</v>
      </c>
      <c r="W33" s="25">
        <f>IF(OR(tbl_BA_activities[[#This Row],[Mean (of the number set)]]=0,tbl_BA_activities[[#This Row],[X]]=0,4=0),0,tbl_BA_activities[[#This Row],[Adjusted Effort Hours]]/tbl_BA_activities[[#This Row],[Availability]])</f>
        <v>140.68020971574464</v>
      </c>
      <c r="X33" s="37">
        <f>tbl_BA_activities[[#This Row],[Adjusted Duration in Hours]]-2*tbl_BA_activities[[#This Row],[sigma]]</f>
        <v>125.1024477883474</v>
      </c>
      <c r="Y33" s="37">
        <f>tbl_BA_activities[[#This Row],[Adjusted Duration in Hours]]-1*tbl_BA_activities[[#This Row],[sigma]]</f>
        <v>132.89132875204604</v>
      </c>
      <c r="Z33" s="37">
        <f>tbl_BA_activities[[#This Row],[Adjusted Duration in Hours]]-0*tbl_BA_activities[[#This Row],[sigma]]</f>
        <v>140.68020971574464</v>
      </c>
      <c r="AA33" s="37">
        <f>tbl_BA_activities[[#This Row],[Adjusted Duration in Hours]]+1*tbl_BA_activities[[#This Row],[sigma]]</f>
        <v>148.46909067944324</v>
      </c>
      <c r="AB33" s="37">
        <f>tbl_BA_activities[[#This Row],[Adjusted Duration in Hours]]+2*tbl_BA_activities[[#This Row],[sigma]]</f>
        <v>156.25797164314187</v>
      </c>
      <c r="AC33" s="33" t="s">
        <v>185</v>
      </c>
      <c r="AD33" s="33" t="s">
        <v>186</v>
      </c>
      <c r="AE33" s="41"/>
      <c r="AF33" s="41"/>
      <c r="AG33" s="42">
        <v>0</v>
      </c>
      <c r="AH33" s="41"/>
      <c r="AI33" s="37" t="str">
        <f ca="1">IF(ISBLANK(tbl_BA_activities[[#This Row],[Due Date]]),"",IF(TODAY()&gt;tbl_BA_activities[[#This Row],[Due Date]],TODAY()-tbl_BA_activities[[#This Row],[Due Date]],0))</f>
        <v/>
      </c>
    </row>
    <row r="34" spans="2:35" ht="50.1" customHeight="1" x14ac:dyDescent="0.2">
      <c r="B34" s="33" t="s">
        <v>248</v>
      </c>
      <c r="C34" s="3" t="s">
        <v>249</v>
      </c>
      <c r="D34" s="24" t="s">
        <v>268</v>
      </c>
      <c r="E34" s="24" t="s">
        <v>268</v>
      </c>
      <c r="F34" s="24" t="s">
        <v>268</v>
      </c>
      <c r="G34" s="24" t="s">
        <v>268</v>
      </c>
      <c r="H34" s="24" t="s">
        <v>268</v>
      </c>
      <c r="I34" s="37">
        <v>56</v>
      </c>
      <c r="J34" s="37">
        <v>26</v>
      </c>
      <c r="K34" s="37">
        <v>6</v>
      </c>
      <c r="L34" s="39">
        <f>((tbl_BA_activities[[#This Row],[Worst]]+tbl_BA_activities[[#This Row],[ML]]+tbl_BA_activities[[#This Row],[Best]])/3)</f>
        <v>29.333333333333332</v>
      </c>
      <c r="M34" s="39">
        <f>((((tbl_BA_activities[[#This Row],[Worst]])- tbl_BA_activities[[#This Row],[Mean (of the number set)]])^2 +((tbl_BA_activities[[#This Row],[ML]])- tbl_BA_activities[[#This Row],[Mean (of the number set)]])^2+((tbl_BA_activities[[#This Row],[Best]])- tbl_BA_activities[[#This Row],[Mean (of the number set)]])^2)/3)</f>
        <v>422.22222222222217</v>
      </c>
      <c r="N34" s="39">
        <f>(((tbl_BA_activities[[#This Row],[Worst]])- tbl_BA_activities[[#This Row],[Mean (of the number set)]])^2 +((tbl_BA_activities[[#This Row],[ML]])- tbl_BA_activities[[#This Row],[Mean (of the number set)]])^2+((tbl_BA_activities[[#This Row],[Best]])- tbl_BA_activities[[#This Row],[Mean (of the number set)]])^2)</f>
        <v>1266.6666666666665</v>
      </c>
      <c r="O34" s="39">
        <f>SQRT(tbl_BA_activities[[#This Row],[Variance (of the number set)]])</f>
        <v>20.548046676563253</v>
      </c>
      <c r="P34" s="39">
        <f>IF(tbl_BA_activities[[#This Row],[ML]]=0,"",(tbl_BA_activities[[#This Row],[ML]]-tbl_BA_activities[[#This Row],[Mean (of the number set)]])/tbl_BA_activities[[#This Row],[sigma]])</f>
        <v>-0.16222142113076249</v>
      </c>
      <c r="Q34" s="40">
        <v>0.85499999999999998</v>
      </c>
      <c r="R34" s="33" t="s">
        <v>197</v>
      </c>
      <c r="S34" s="33" t="s">
        <v>184</v>
      </c>
      <c r="T34" s="61">
        <f>IF(tbl_BA_activities[[#This Row],[Efficiency Adjustment]]="Efficient",0.8,IF(tbl_BA_activities[[#This Row],[Efficiency Adjustment]]="Average",0.7,IF(tbl_BA_activities[[#This Row],[Efficiency Adjustment]]="Inefficient",0.6,0)))</f>
        <v>0.6</v>
      </c>
      <c r="U34" s="61">
        <f>IF(tbl_BA_activities[[#This Row],[Proficiency Adjustment]]="Experienced",0.85,IF(tbl_BA_activities[[#This Row],[Proficiency Adjustment]]="Average",1,IF(tbl_BA_activities[[#This Row],[Proficiency Adjustment]]="Inexperienced",1.24,0)))</f>
        <v>0.85</v>
      </c>
      <c r="V34" s="25">
        <f>IF(OR(tbl_BA_activities[[#This Row],[Mean (of the number set)]]=0,tbl_BA_activities[[#This Row],[X]]=0,4=0),0,(tbl_BA_activities[[#This Row],[Mean (of the number set)]]/tbl_BA_activities[[#This Row],[X]])*tbl_BA_activities[[#This Row],[Y]])</f>
        <v>41.55555555555555</v>
      </c>
      <c r="W34" s="25">
        <f>IF(OR(tbl_BA_activities[[#This Row],[Mean (of the number set)]]=0,tbl_BA_activities[[#This Row],[X]]=0,4=0),0,tbl_BA_activities[[#This Row],[Adjusted Effort Hours]]/tbl_BA_activities[[#This Row],[Availability]])</f>
        <v>48.602988953866138</v>
      </c>
      <c r="X34" s="37">
        <f>tbl_BA_activities[[#This Row],[Adjusted Duration in Hours]]-2*tbl_BA_activities[[#This Row],[sigma]]</f>
        <v>7.5068956007396324</v>
      </c>
      <c r="Y34" s="37">
        <f>tbl_BA_activities[[#This Row],[Adjusted Duration in Hours]]-1*tbl_BA_activities[[#This Row],[sigma]]</f>
        <v>28.054942277302885</v>
      </c>
      <c r="Z34" s="37">
        <f>tbl_BA_activities[[#This Row],[Adjusted Duration in Hours]]-0*tbl_BA_activities[[#This Row],[sigma]]</f>
        <v>48.602988953866138</v>
      </c>
      <c r="AA34" s="37">
        <f>tbl_BA_activities[[#This Row],[Adjusted Duration in Hours]]+1*tbl_BA_activities[[#This Row],[sigma]]</f>
        <v>69.151035630429391</v>
      </c>
      <c r="AB34" s="37">
        <f>tbl_BA_activities[[#This Row],[Adjusted Duration in Hours]]+2*tbl_BA_activities[[#This Row],[sigma]]</f>
        <v>89.699082306992636</v>
      </c>
      <c r="AC34" s="33" t="s">
        <v>191</v>
      </c>
      <c r="AD34" s="33" t="s">
        <v>186</v>
      </c>
      <c r="AE34" s="41"/>
      <c r="AF34" s="41"/>
      <c r="AG34" s="42">
        <v>0</v>
      </c>
      <c r="AH34" s="41"/>
      <c r="AI34" s="37" t="str">
        <f ca="1">IF(ISBLANK(tbl_BA_activities[[#This Row],[Due Date]]),"",IF(TODAY()&gt;tbl_BA_activities[[#This Row],[Due Date]],TODAY()-tbl_BA_activities[[#This Row],[Due Date]],0))</f>
        <v/>
      </c>
    </row>
    <row r="35" spans="2:35" ht="50.1" customHeight="1" x14ac:dyDescent="0.2">
      <c r="B35" s="33" t="s">
        <v>250</v>
      </c>
      <c r="C35" s="3" t="s">
        <v>251</v>
      </c>
      <c r="D35" s="24" t="s">
        <v>268</v>
      </c>
      <c r="E35" s="24" t="s">
        <v>268</v>
      </c>
      <c r="F35" s="24" t="s">
        <v>268</v>
      </c>
      <c r="G35" s="24" t="s">
        <v>268</v>
      </c>
      <c r="H35" s="24" t="s">
        <v>268</v>
      </c>
      <c r="I35" s="37">
        <v>34</v>
      </c>
      <c r="J35" s="37">
        <v>30</v>
      </c>
      <c r="K35" s="37">
        <v>17</v>
      </c>
      <c r="L35" s="39">
        <f>((tbl_BA_activities[[#This Row],[Worst]]+tbl_BA_activities[[#This Row],[ML]]+tbl_BA_activities[[#This Row],[Best]])/3)</f>
        <v>27</v>
      </c>
      <c r="M35" s="39">
        <f>((((tbl_BA_activities[[#This Row],[Worst]])- tbl_BA_activities[[#This Row],[Mean (of the number set)]])^2 +((tbl_BA_activities[[#This Row],[ML]])- tbl_BA_activities[[#This Row],[Mean (of the number set)]])^2+((tbl_BA_activities[[#This Row],[Best]])- tbl_BA_activities[[#This Row],[Mean (of the number set)]])^2)/3)</f>
        <v>52.666666666666664</v>
      </c>
      <c r="N35" s="39">
        <f>(((tbl_BA_activities[[#This Row],[Worst]])- tbl_BA_activities[[#This Row],[Mean (of the number set)]])^2 +((tbl_BA_activities[[#This Row],[ML]])- tbl_BA_activities[[#This Row],[Mean (of the number set)]])^2+((tbl_BA_activities[[#This Row],[Best]])- tbl_BA_activities[[#This Row],[Mean (of the number set)]])^2)</f>
        <v>158</v>
      </c>
      <c r="O35" s="39">
        <f>SQRT(tbl_BA_activities[[#This Row],[Variance (of the number set)]])</f>
        <v>7.2571803523590805</v>
      </c>
      <c r="P35" s="39">
        <f>IF(tbl_BA_activities[[#This Row],[ML]]=0,"",(tbl_BA_activities[[#This Row],[ML]]-tbl_BA_activities[[#This Row],[Mean (of the number set)]])/tbl_BA_activities[[#This Row],[sigma]])</f>
        <v>0.41338369095716282</v>
      </c>
      <c r="Q35" s="40">
        <v>0.35</v>
      </c>
      <c r="R35" s="33" t="s">
        <v>183</v>
      </c>
      <c r="S35" s="33" t="s">
        <v>189</v>
      </c>
      <c r="T35" s="61">
        <f>IF(tbl_BA_activities[[#This Row],[Efficiency Adjustment]]="Efficient",0.8,IF(tbl_BA_activities[[#This Row],[Efficiency Adjustment]]="Average",0.7,IF(tbl_BA_activities[[#This Row],[Efficiency Adjustment]]="Inefficient",0.6,0)))</f>
        <v>0.8</v>
      </c>
      <c r="U35" s="61">
        <f>IF(tbl_BA_activities[[#This Row],[Proficiency Adjustment]]="Experienced",0.85,IF(tbl_BA_activities[[#This Row],[Proficiency Adjustment]]="Average",1,IF(tbl_BA_activities[[#This Row],[Proficiency Adjustment]]="Inexperienced",1.24,0)))</f>
        <v>1</v>
      </c>
      <c r="V35" s="25">
        <f>IF(OR(tbl_BA_activities[[#This Row],[Mean (of the number set)]]=0,tbl_BA_activities[[#This Row],[X]]=0,4=0),0,(tbl_BA_activities[[#This Row],[Mean (of the number set)]]/tbl_BA_activities[[#This Row],[X]])*tbl_BA_activities[[#This Row],[Y]])</f>
        <v>33.75</v>
      </c>
      <c r="W35" s="25">
        <f>IF(OR(tbl_BA_activities[[#This Row],[Mean (of the number set)]]=0,tbl_BA_activities[[#This Row],[X]]=0,4=0),0,tbl_BA_activities[[#This Row],[Adjusted Effort Hours]]/tbl_BA_activities[[#This Row],[Availability]])</f>
        <v>96.428571428571431</v>
      </c>
      <c r="X35" s="37">
        <f>tbl_BA_activities[[#This Row],[Adjusted Duration in Hours]]-2*tbl_BA_activities[[#This Row],[sigma]]</f>
        <v>81.914210723853273</v>
      </c>
      <c r="Y35" s="37">
        <f>tbl_BA_activities[[#This Row],[Adjusted Duration in Hours]]-1*tbl_BA_activities[[#This Row],[sigma]]</f>
        <v>89.171391076212345</v>
      </c>
      <c r="Z35" s="37">
        <f>tbl_BA_activities[[#This Row],[Adjusted Duration in Hours]]-0*tbl_BA_activities[[#This Row],[sigma]]</f>
        <v>96.428571428571431</v>
      </c>
      <c r="AA35" s="37">
        <f>tbl_BA_activities[[#This Row],[Adjusted Duration in Hours]]+1*tbl_BA_activities[[#This Row],[sigma]]</f>
        <v>103.68575178093052</v>
      </c>
      <c r="AB35" s="37">
        <f>tbl_BA_activities[[#This Row],[Adjusted Duration in Hours]]+2*tbl_BA_activities[[#This Row],[sigma]]</f>
        <v>110.94293213328959</v>
      </c>
      <c r="AC35" s="33" t="s">
        <v>185</v>
      </c>
      <c r="AD35" s="33" t="s">
        <v>186</v>
      </c>
      <c r="AE35" s="41"/>
      <c r="AF35" s="41"/>
      <c r="AG35" s="42">
        <v>0</v>
      </c>
      <c r="AH35" s="41"/>
      <c r="AI35" s="37" t="str">
        <f ca="1">IF(ISBLANK(tbl_BA_activities[[#This Row],[Due Date]]),"",IF(TODAY()&gt;tbl_BA_activities[[#This Row],[Due Date]],TODAY()-tbl_BA_activities[[#This Row],[Due Date]],0))</f>
        <v/>
      </c>
    </row>
    <row r="36" spans="2:35" ht="50.1" customHeight="1" x14ac:dyDescent="0.2">
      <c r="B36" s="33" t="s">
        <v>252</v>
      </c>
      <c r="C36" s="3" t="s">
        <v>253</v>
      </c>
      <c r="D36" s="24" t="s">
        <v>268</v>
      </c>
      <c r="E36" s="24" t="s">
        <v>268</v>
      </c>
      <c r="F36" s="24" t="s">
        <v>268</v>
      </c>
      <c r="G36" s="24" t="s">
        <v>268</v>
      </c>
      <c r="H36" s="24" t="s">
        <v>268</v>
      </c>
      <c r="I36" s="37">
        <v>21</v>
      </c>
      <c r="J36" s="37">
        <v>28</v>
      </c>
      <c r="K36" s="37">
        <v>18</v>
      </c>
      <c r="L36" s="39">
        <f>((tbl_BA_activities[[#This Row],[Worst]]+tbl_BA_activities[[#This Row],[ML]]+tbl_BA_activities[[#This Row],[Best]])/3)</f>
        <v>22.333333333333332</v>
      </c>
      <c r="M36" s="39">
        <f>((((tbl_BA_activities[[#This Row],[Worst]])- tbl_BA_activities[[#This Row],[Mean (of the number set)]])^2 +((tbl_BA_activities[[#This Row],[ML]])- tbl_BA_activities[[#This Row],[Mean (of the number set)]])^2+((tbl_BA_activities[[#This Row],[Best]])- tbl_BA_activities[[#This Row],[Mean (of the number set)]])^2)/3)</f>
        <v>17.555555555555554</v>
      </c>
      <c r="N36" s="39">
        <f>(((tbl_BA_activities[[#This Row],[Worst]])- tbl_BA_activities[[#This Row],[Mean (of the number set)]])^2 +((tbl_BA_activities[[#This Row],[ML]])- tbl_BA_activities[[#This Row],[Mean (of the number set)]])^2+((tbl_BA_activities[[#This Row],[Best]])- tbl_BA_activities[[#This Row],[Mean (of the number set)]])^2)</f>
        <v>52.666666666666657</v>
      </c>
      <c r="O36" s="39">
        <f>SQRT(tbl_BA_activities[[#This Row],[Variance (of the number set)]])</f>
        <v>4.1899350299921778</v>
      </c>
      <c r="P36" s="39">
        <f>IF(tbl_BA_activities[[#This Row],[ML]]=0,"",(tbl_BA_activities[[#This Row],[ML]]-tbl_BA_activities[[#This Row],[Mean (of the number set)]])/tbl_BA_activities[[#This Row],[sigma]])</f>
        <v>1.3524473830987416</v>
      </c>
      <c r="Q36" s="40">
        <v>0.64684235939917611</v>
      </c>
      <c r="R36" s="33" t="s">
        <v>189</v>
      </c>
      <c r="S36" s="33" t="s">
        <v>189</v>
      </c>
      <c r="T36" s="61">
        <f>IF(tbl_BA_activities[[#This Row],[Efficiency Adjustment]]="Efficient",0.8,IF(tbl_BA_activities[[#This Row],[Efficiency Adjustment]]="Average",0.7,IF(tbl_BA_activities[[#This Row],[Efficiency Adjustment]]="Inefficient",0.6,0)))</f>
        <v>0.7</v>
      </c>
      <c r="U36" s="61">
        <f>IF(tbl_BA_activities[[#This Row],[Proficiency Adjustment]]="Experienced",0.85,IF(tbl_BA_activities[[#This Row],[Proficiency Adjustment]]="Average",1,IF(tbl_BA_activities[[#This Row],[Proficiency Adjustment]]="Inexperienced",1.24,0)))</f>
        <v>1</v>
      </c>
      <c r="V36" s="25">
        <f>IF(OR(tbl_BA_activities[[#This Row],[Mean (of the number set)]]=0,tbl_BA_activities[[#This Row],[X]]=0,4=0),0,(tbl_BA_activities[[#This Row],[Mean (of the number set)]]/tbl_BA_activities[[#This Row],[X]])*tbl_BA_activities[[#This Row],[Y]])</f>
        <v>31.904761904761905</v>
      </c>
      <c r="W36" s="25">
        <f>IF(OR(tbl_BA_activities[[#This Row],[Mean (of the number set)]]=0,tbl_BA_activities[[#This Row],[X]]=0,4=0),0,tbl_BA_activities[[#This Row],[Adjusted Effort Hours]]/tbl_BA_activities[[#This Row],[Availability]])</f>
        <v>49.323859888206549</v>
      </c>
      <c r="X36" s="37">
        <f>tbl_BA_activities[[#This Row],[Adjusted Duration in Hours]]-2*tbl_BA_activities[[#This Row],[sigma]]</f>
        <v>40.943989828222193</v>
      </c>
      <c r="Y36" s="37">
        <f>tbl_BA_activities[[#This Row],[Adjusted Duration in Hours]]-1*tbl_BA_activities[[#This Row],[sigma]]</f>
        <v>45.133924858214371</v>
      </c>
      <c r="Z36" s="37">
        <f>tbl_BA_activities[[#This Row],[Adjusted Duration in Hours]]-0*tbl_BA_activities[[#This Row],[sigma]]</f>
        <v>49.323859888206549</v>
      </c>
      <c r="AA36" s="37">
        <f>tbl_BA_activities[[#This Row],[Adjusted Duration in Hours]]+1*tbl_BA_activities[[#This Row],[sigma]]</f>
        <v>53.513794918198727</v>
      </c>
      <c r="AB36" s="37">
        <f>tbl_BA_activities[[#This Row],[Adjusted Duration in Hours]]+2*tbl_BA_activities[[#This Row],[sigma]]</f>
        <v>57.703729948190905</v>
      </c>
      <c r="AC36" s="33" t="s">
        <v>191</v>
      </c>
      <c r="AD36" s="33" t="s">
        <v>186</v>
      </c>
      <c r="AE36" s="41"/>
      <c r="AF36" s="41"/>
      <c r="AG36" s="42">
        <v>0</v>
      </c>
      <c r="AH36" s="41"/>
      <c r="AI36" s="37" t="str">
        <f ca="1">IF(ISBLANK(tbl_BA_activities[[#This Row],[Due Date]]),"",IF(TODAY()&gt;tbl_BA_activities[[#This Row],[Due Date]],TODAY()-tbl_BA_activities[[#This Row],[Due Date]],0))</f>
        <v/>
      </c>
    </row>
    <row r="37" spans="2:35" ht="50.1" customHeight="1" x14ac:dyDescent="0.2">
      <c r="B37" s="33" t="s">
        <v>254</v>
      </c>
      <c r="C37" s="3" t="s">
        <v>255</v>
      </c>
      <c r="D37" s="24" t="s">
        <v>268</v>
      </c>
      <c r="E37" s="24" t="s">
        <v>268</v>
      </c>
      <c r="F37" s="24" t="s">
        <v>268</v>
      </c>
      <c r="G37" s="24" t="s">
        <v>268</v>
      </c>
      <c r="H37" s="24" t="s">
        <v>268</v>
      </c>
      <c r="I37" s="37">
        <v>33</v>
      </c>
      <c r="J37" s="37">
        <v>27</v>
      </c>
      <c r="K37" s="37">
        <v>18</v>
      </c>
      <c r="L37" s="39">
        <f>((tbl_BA_activities[[#This Row],[Worst]]+tbl_BA_activities[[#This Row],[ML]]+tbl_BA_activities[[#This Row],[Best]])/3)</f>
        <v>26</v>
      </c>
      <c r="M37" s="39">
        <f>((((tbl_BA_activities[[#This Row],[Worst]])- tbl_BA_activities[[#This Row],[Mean (of the number set)]])^2 +((tbl_BA_activities[[#This Row],[ML]])- tbl_BA_activities[[#This Row],[Mean (of the number set)]])^2+((tbl_BA_activities[[#This Row],[Best]])- tbl_BA_activities[[#This Row],[Mean (of the number set)]])^2)/3)</f>
        <v>38</v>
      </c>
      <c r="N37" s="39">
        <f>(((tbl_BA_activities[[#This Row],[Worst]])- tbl_BA_activities[[#This Row],[Mean (of the number set)]])^2 +((tbl_BA_activities[[#This Row],[ML]])- tbl_BA_activities[[#This Row],[Mean (of the number set)]])^2+((tbl_BA_activities[[#This Row],[Best]])- tbl_BA_activities[[#This Row],[Mean (of the number set)]])^2)</f>
        <v>114</v>
      </c>
      <c r="O37" s="39">
        <f>SQRT(tbl_BA_activities[[#This Row],[Variance (of the number set)]])</f>
        <v>6.164414002968976</v>
      </c>
      <c r="P37" s="39">
        <f>IF(tbl_BA_activities[[#This Row],[ML]]=0,"",(tbl_BA_activities[[#This Row],[ML]]-tbl_BA_activities[[#This Row],[Mean (of the number set)]])/tbl_BA_activities[[#This Row],[sigma]])</f>
        <v>0.16222142113076254</v>
      </c>
      <c r="Q37" s="40">
        <v>0.5531252526619248</v>
      </c>
      <c r="R37" s="33" t="s">
        <v>189</v>
      </c>
      <c r="S37" s="33" t="s">
        <v>184</v>
      </c>
      <c r="T37" s="61">
        <f>IF(tbl_BA_activities[[#This Row],[Efficiency Adjustment]]="Efficient",0.8,IF(tbl_BA_activities[[#This Row],[Efficiency Adjustment]]="Average",0.7,IF(tbl_BA_activities[[#This Row],[Efficiency Adjustment]]="Inefficient",0.6,0)))</f>
        <v>0.7</v>
      </c>
      <c r="U37" s="61">
        <f>IF(tbl_BA_activities[[#This Row],[Proficiency Adjustment]]="Experienced",0.85,IF(tbl_BA_activities[[#This Row],[Proficiency Adjustment]]="Average",1,IF(tbl_BA_activities[[#This Row],[Proficiency Adjustment]]="Inexperienced",1.24,0)))</f>
        <v>0.85</v>
      </c>
      <c r="V37" s="25">
        <f>IF(OR(tbl_BA_activities[[#This Row],[Mean (of the number set)]]=0,tbl_BA_activities[[#This Row],[X]]=0,4=0),0,(tbl_BA_activities[[#This Row],[Mean (of the number set)]]/tbl_BA_activities[[#This Row],[X]])*tbl_BA_activities[[#This Row],[Y]])</f>
        <v>31.571428571428573</v>
      </c>
      <c r="W37" s="25">
        <f>IF(OR(tbl_BA_activities[[#This Row],[Mean (of the number set)]]=0,tbl_BA_activities[[#This Row],[X]]=0,4=0),0,tbl_BA_activities[[#This Row],[Adjusted Effort Hours]]/tbl_BA_activities[[#This Row],[Availability]])</f>
        <v>57.078262869920565</v>
      </c>
      <c r="X37" s="37">
        <f>tbl_BA_activities[[#This Row],[Adjusted Duration in Hours]]-2*tbl_BA_activities[[#This Row],[sigma]]</f>
        <v>44.749434863982614</v>
      </c>
      <c r="Y37" s="37">
        <f>tbl_BA_activities[[#This Row],[Adjusted Duration in Hours]]-1*tbl_BA_activities[[#This Row],[sigma]]</f>
        <v>50.913848866951589</v>
      </c>
      <c r="Z37" s="37">
        <f>tbl_BA_activities[[#This Row],[Adjusted Duration in Hours]]-0*tbl_BA_activities[[#This Row],[sigma]]</f>
        <v>57.078262869920565</v>
      </c>
      <c r="AA37" s="37">
        <f>tbl_BA_activities[[#This Row],[Adjusted Duration in Hours]]+1*tbl_BA_activities[[#This Row],[sigma]]</f>
        <v>63.24267687288954</v>
      </c>
      <c r="AB37" s="37">
        <f>tbl_BA_activities[[#This Row],[Adjusted Duration in Hours]]+2*tbl_BA_activities[[#This Row],[sigma]]</f>
        <v>69.407090875858515</v>
      </c>
      <c r="AC37" s="33" t="s">
        <v>194</v>
      </c>
      <c r="AD37" s="33" t="s">
        <v>186</v>
      </c>
      <c r="AE37" s="41"/>
      <c r="AF37" s="41"/>
      <c r="AG37" s="42">
        <v>0</v>
      </c>
      <c r="AH37" s="41"/>
      <c r="AI37" s="37" t="str">
        <f ca="1">IF(ISBLANK(tbl_BA_activities[[#This Row],[Due Date]]),"",IF(TODAY()&gt;tbl_BA_activities[[#This Row],[Due Date]],TODAY()-tbl_BA_activities[[#This Row],[Due Date]],0))</f>
        <v/>
      </c>
    </row>
    <row r="38" spans="2:35" ht="50.1" customHeight="1" x14ac:dyDescent="0.2">
      <c r="B38" s="33" t="s">
        <v>256</v>
      </c>
      <c r="C38" s="3" t="s">
        <v>257</v>
      </c>
      <c r="D38" s="24" t="s">
        <v>268</v>
      </c>
      <c r="E38" s="24" t="s">
        <v>268</v>
      </c>
      <c r="F38" s="24" t="s">
        <v>268</v>
      </c>
      <c r="G38" s="24" t="s">
        <v>268</v>
      </c>
      <c r="H38" s="24" t="s">
        <v>268</v>
      </c>
      <c r="I38" s="37">
        <v>20</v>
      </c>
      <c r="J38" s="37">
        <v>27</v>
      </c>
      <c r="K38" s="37">
        <v>9</v>
      </c>
      <c r="L38" s="39">
        <f>((tbl_BA_activities[[#This Row],[Worst]]+tbl_BA_activities[[#This Row],[ML]]+tbl_BA_activities[[#This Row],[Best]])/3)</f>
        <v>18.666666666666668</v>
      </c>
      <c r="M38" s="39">
        <f>((((tbl_BA_activities[[#This Row],[Worst]])- tbl_BA_activities[[#This Row],[Mean (of the number set)]])^2 +((tbl_BA_activities[[#This Row],[ML]])- tbl_BA_activities[[#This Row],[Mean (of the number set)]])^2+((tbl_BA_activities[[#This Row],[Best]])- tbl_BA_activities[[#This Row],[Mean (of the number set)]])^2)/3)</f>
        <v>54.888888888888893</v>
      </c>
      <c r="N38" s="39">
        <f>(((tbl_BA_activities[[#This Row],[Worst]])- tbl_BA_activities[[#This Row],[Mean (of the number set)]])^2 +((tbl_BA_activities[[#This Row],[ML]])- tbl_BA_activities[[#This Row],[Mean (of the number set)]])^2+((tbl_BA_activities[[#This Row],[Best]])- tbl_BA_activities[[#This Row],[Mean (of the number set)]])^2)</f>
        <v>164.66666666666669</v>
      </c>
      <c r="O38" s="39">
        <f>SQRT(tbl_BA_activities[[#This Row],[Variance (of the number set)]])</f>
        <v>7.4087035902976233</v>
      </c>
      <c r="P38" s="39">
        <f>IF(tbl_BA_activities[[#This Row],[ML]]=0,"",(tbl_BA_activities[[#This Row],[ML]]-tbl_BA_activities[[#This Row],[Mean (of the number set)]])/tbl_BA_activities[[#This Row],[sigma]])</f>
        <v>1.1248031766646187</v>
      </c>
      <c r="Q38" s="40">
        <v>0.56083927719496451</v>
      </c>
      <c r="R38" s="33" t="s">
        <v>183</v>
      </c>
      <c r="S38" s="33" t="s">
        <v>189</v>
      </c>
      <c r="T38" s="61">
        <f>IF(tbl_BA_activities[[#This Row],[Efficiency Adjustment]]="Efficient",0.8,IF(tbl_BA_activities[[#This Row],[Efficiency Adjustment]]="Average",0.7,IF(tbl_BA_activities[[#This Row],[Efficiency Adjustment]]="Inefficient",0.6,0)))</f>
        <v>0.8</v>
      </c>
      <c r="U38" s="61">
        <f>IF(tbl_BA_activities[[#This Row],[Proficiency Adjustment]]="Experienced",0.85,IF(tbl_BA_activities[[#This Row],[Proficiency Adjustment]]="Average",1,IF(tbl_BA_activities[[#This Row],[Proficiency Adjustment]]="Inexperienced",1.24,0)))</f>
        <v>1</v>
      </c>
      <c r="V38" s="25">
        <f>IF(OR(tbl_BA_activities[[#This Row],[Mean (of the number set)]]=0,tbl_BA_activities[[#This Row],[X]]=0,4=0),0,(tbl_BA_activities[[#This Row],[Mean (of the number set)]]/tbl_BA_activities[[#This Row],[X]])*tbl_BA_activities[[#This Row],[Y]])</f>
        <v>23.333333333333332</v>
      </c>
      <c r="W38" s="25">
        <f>IF(OR(tbl_BA_activities[[#This Row],[Mean (of the number set)]]=0,tbl_BA_activities[[#This Row],[X]]=0,4=0),0,tbl_BA_activities[[#This Row],[Adjusted Effort Hours]]/tbl_BA_activities[[#This Row],[Availability]])</f>
        <v>41.604313895479841</v>
      </c>
      <c r="X38" s="37">
        <f>tbl_BA_activities[[#This Row],[Adjusted Duration in Hours]]-2*tbl_BA_activities[[#This Row],[sigma]]</f>
        <v>26.786906714884594</v>
      </c>
      <c r="Y38" s="37">
        <f>tbl_BA_activities[[#This Row],[Adjusted Duration in Hours]]-1*tbl_BA_activities[[#This Row],[sigma]]</f>
        <v>34.195610305182214</v>
      </c>
      <c r="Z38" s="37">
        <f>tbl_BA_activities[[#This Row],[Adjusted Duration in Hours]]-0*tbl_BA_activities[[#This Row],[sigma]]</f>
        <v>41.604313895479841</v>
      </c>
      <c r="AA38" s="37">
        <f>tbl_BA_activities[[#This Row],[Adjusted Duration in Hours]]+1*tbl_BA_activities[[#This Row],[sigma]]</f>
        <v>49.013017485777468</v>
      </c>
      <c r="AB38" s="37">
        <f>tbl_BA_activities[[#This Row],[Adjusted Duration in Hours]]+2*tbl_BA_activities[[#This Row],[sigma]]</f>
        <v>56.421721076075087</v>
      </c>
      <c r="AC38" s="33" t="s">
        <v>185</v>
      </c>
      <c r="AD38" s="33" t="s">
        <v>186</v>
      </c>
      <c r="AE38" s="41"/>
      <c r="AF38" s="41"/>
      <c r="AG38" s="42">
        <v>0</v>
      </c>
      <c r="AH38" s="41"/>
      <c r="AI38" s="37" t="str">
        <f ca="1">IF(ISBLANK(tbl_BA_activities[[#This Row],[Due Date]]),"",IF(TODAY()&gt;tbl_BA_activities[[#This Row],[Due Date]],TODAY()-tbl_BA_activities[[#This Row],[Due Date]],0))</f>
        <v/>
      </c>
    </row>
    <row r="39" spans="2:35" ht="50.1" customHeight="1" x14ac:dyDescent="0.2">
      <c r="B39" s="33" t="s">
        <v>258</v>
      </c>
      <c r="C39" s="3" t="s">
        <v>259</v>
      </c>
      <c r="D39" s="24" t="s">
        <v>268</v>
      </c>
      <c r="E39" s="24" t="s">
        <v>268</v>
      </c>
      <c r="F39" s="24" t="s">
        <v>268</v>
      </c>
      <c r="G39" s="24" t="s">
        <v>268</v>
      </c>
      <c r="H39" s="24" t="s">
        <v>268</v>
      </c>
      <c r="I39" s="37">
        <v>60</v>
      </c>
      <c r="J39" s="37">
        <v>25</v>
      </c>
      <c r="K39" s="37">
        <v>21</v>
      </c>
      <c r="L39" s="39">
        <f>((tbl_BA_activities[[#This Row],[Worst]]+tbl_BA_activities[[#This Row],[ML]]+tbl_BA_activities[[#This Row],[Best]])/3)</f>
        <v>35.333333333333336</v>
      </c>
      <c r="M39" s="39">
        <f>((((tbl_BA_activities[[#This Row],[Worst]])- tbl_BA_activities[[#This Row],[Mean (of the number set)]])^2 +((tbl_BA_activities[[#This Row],[ML]])- tbl_BA_activities[[#This Row],[Mean (of the number set)]])^2+((tbl_BA_activities[[#This Row],[Best]])- tbl_BA_activities[[#This Row],[Mean (of the number set)]])^2)/3)</f>
        <v>306.88888888888891</v>
      </c>
      <c r="N39" s="39">
        <f>(((tbl_BA_activities[[#This Row],[Worst]])- tbl_BA_activities[[#This Row],[Mean (of the number set)]])^2 +((tbl_BA_activities[[#This Row],[ML]])- tbl_BA_activities[[#This Row],[Mean (of the number set)]])^2+((tbl_BA_activities[[#This Row],[Best]])- tbl_BA_activities[[#This Row],[Mean (of the number set)]])^2)</f>
        <v>920.66666666666674</v>
      </c>
      <c r="O39" s="39">
        <f>SQRT(tbl_BA_activities[[#This Row],[Variance (of the number set)]])</f>
        <v>17.518244457961217</v>
      </c>
      <c r="P39" s="39">
        <f>IF(tbl_BA_activities[[#This Row],[ML]]=0,"",(tbl_BA_activities[[#This Row],[ML]]-tbl_BA_activities[[#This Row],[Mean (of the number set)]])/tbl_BA_activities[[#This Row],[sigma]])</f>
        <v>-0.58986123627458131</v>
      </c>
      <c r="Q39" s="40">
        <v>0.25</v>
      </c>
      <c r="R39" s="33" t="s">
        <v>189</v>
      </c>
      <c r="S39" s="33" t="s">
        <v>189</v>
      </c>
      <c r="T39" s="61">
        <f>IF(tbl_BA_activities[[#This Row],[Efficiency Adjustment]]="Efficient",0.8,IF(tbl_BA_activities[[#This Row],[Efficiency Adjustment]]="Average",0.7,IF(tbl_BA_activities[[#This Row],[Efficiency Adjustment]]="Inefficient",0.6,0)))</f>
        <v>0.7</v>
      </c>
      <c r="U39" s="61">
        <f>IF(tbl_BA_activities[[#This Row],[Proficiency Adjustment]]="Experienced",0.85,IF(tbl_BA_activities[[#This Row],[Proficiency Adjustment]]="Average",1,IF(tbl_BA_activities[[#This Row],[Proficiency Adjustment]]="Inexperienced",1.24,0)))</f>
        <v>1</v>
      </c>
      <c r="V39" s="25">
        <f>IF(OR(tbl_BA_activities[[#This Row],[Mean (of the number set)]]=0,tbl_BA_activities[[#This Row],[X]]=0,4=0),0,(tbl_BA_activities[[#This Row],[Mean (of the number set)]]/tbl_BA_activities[[#This Row],[X]])*tbl_BA_activities[[#This Row],[Y]])</f>
        <v>50.476190476190482</v>
      </c>
      <c r="W39" s="25">
        <f>IF(OR(tbl_BA_activities[[#This Row],[Mean (of the number set)]]=0,tbl_BA_activities[[#This Row],[X]]=0,4=0),0,tbl_BA_activities[[#This Row],[Adjusted Effort Hours]]/tbl_BA_activities[[#This Row],[Availability]])</f>
        <v>201.90476190476193</v>
      </c>
      <c r="X39" s="37">
        <f>tbl_BA_activities[[#This Row],[Adjusted Duration in Hours]]-2*tbl_BA_activities[[#This Row],[sigma]]</f>
        <v>166.86827298883949</v>
      </c>
      <c r="Y39" s="37">
        <f>tbl_BA_activities[[#This Row],[Adjusted Duration in Hours]]-1*tbl_BA_activities[[#This Row],[sigma]]</f>
        <v>184.38651744680072</v>
      </c>
      <c r="Z39" s="37">
        <f>tbl_BA_activities[[#This Row],[Adjusted Duration in Hours]]-0*tbl_BA_activities[[#This Row],[sigma]]</f>
        <v>201.90476190476193</v>
      </c>
      <c r="AA39" s="37">
        <f>tbl_BA_activities[[#This Row],[Adjusted Duration in Hours]]+1*tbl_BA_activities[[#This Row],[sigma]]</f>
        <v>219.42300636272313</v>
      </c>
      <c r="AB39" s="37">
        <f>tbl_BA_activities[[#This Row],[Adjusted Duration in Hours]]+2*tbl_BA_activities[[#This Row],[sigma]]</f>
        <v>236.94125082068436</v>
      </c>
      <c r="AC39" s="33" t="s">
        <v>185</v>
      </c>
      <c r="AD39" s="33" t="s">
        <v>186</v>
      </c>
      <c r="AE39" s="41"/>
      <c r="AF39" s="41"/>
      <c r="AG39" s="42">
        <v>0</v>
      </c>
      <c r="AH39" s="41"/>
      <c r="AI39" s="37" t="str">
        <f ca="1">IF(ISBLANK(tbl_BA_activities[[#This Row],[Due Date]]),"",IF(TODAY()&gt;tbl_BA_activities[[#This Row],[Due Date]],TODAY()-tbl_BA_activities[[#This Row],[Due Date]],0))</f>
        <v/>
      </c>
    </row>
    <row r="40" spans="2:35" ht="50.1" customHeight="1" x14ac:dyDescent="0.2">
      <c r="B40" s="33" t="s">
        <v>260</v>
      </c>
      <c r="C40" s="3" t="s">
        <v>261</v>
      </c>
      <c r="D40" s="24" t="s">
        <v>268</v>
      </c>
      <c r="E40" s="24" t="s">
        <v>268</v>
      </c>
      <c r="F40" s="24" t="s">
        <v>268</v>
      </c>
      <c r="G40" s="24" t="s">
        <v>268</v>
      </c>
      <c r="H40" s="24" t="s">
        <v>268</v>
      </c>
      <c r="I40" s="37">
        <v>27</v>
      </c>
      <c r="J40" s="37">
        <v>30</v>
      </c>
      <c r="K40" s="37">
        <v>8</v>
      </c>
      <c r="L40" s="39">
        <f>((tbl_BA_activities[[#This Row],[Worst]]+tbl_BA_activities[[#This Row],[ML]]+tbl_BA_activities[[#This Row],[Best]])/3)</f>
        <v>21.666666666666668</v>
      </c>
      <c r="M40" s="39">
        <f>((((tbl_BA_activities[[#This Row],[Worst]])- tbl_BA_activities[[#This Row],[Mean (of the number set)]])^2 +((tbl_BA_activities[[#This Row],[ML]])- tbl_BA_activities[[#This Row],[Mean (of the number set)]])^2+((tbl_BA_activities[[#This Row],[Best]])- tbl_BA_activities[[#This Row],[Mean (of the number set)]])^2)/3)</f>
        <v>94.888888888888872</v>
      </c>
      <c r="N40" s="39">
        <f>(((tbl_BA_activities[[#This Row],[Worst]])- tbl_BA_activities[[#This Row],[Mean (of the number set)]])^2 +((tbl_BA_activities[[#This Row],[ML]])- tbl_BA_activities[[#This Row],[Mean (of the number set)]])^2+((tbl_BA_activities[[#This Row],[Best]])- tbl_BA_activities[[#This Row],[Mean (of the number set)]])^2)</f>
        <v>284.66666666666663</v>
      </c>
      <c r="O40" s="39">
        <f>SQRT(tbl_BA_activities[[#This Row],[Variance (of the number set)]])</f>
        <v>9.7410927974683048</v>
      </c>
      <c r="P40" s="39">
        <f>IF(tbl_BA_activities[[#This Row],[ML]]=0,"",(tbl_BA_activities[[#This Row],[ML]]-tbl_BA_activities[[#This Row],[Mean (of the number set)]])/tbl_BA_activities[[#This Row],[sigma]])</f>
        <v>0.85548238853644354</v>
      </c>
      <c r="Q40" s="40">
        <v>0.48878576634946203</v>
      </c>
      <c r="R40" s="33" t="s">
        <v>189</v>
      </c>
      <c r="S40" s="33" t="s">
        <v>189</v>
      </c>
      <c r="T40" s="61">
        <f>IF(tbl_BA_activities[[#This Row],[Efficiency Adjustment]]="Efficient",0.8,IF(tbl_BA_activities[[#This Row],[Efficiency Adjustment]]="Average",0.7,IF(tbl_BA_activities[[#This Row],[Efficiency Adjustment]]="Inefficient",0.6,0)))</f>
        <v>0.7</v>
      </c>
      <c r="U40" s="61">
        <f>IF(tbl_BA_activities[[#This Row],[Proficiency Adjustment]]="Experienced",0.85,IF(tbl_BA_activities[[#This Row],[Proficiency Adjustment]]="Average",1,IF(tbl_BA_activities[[#This Row],[Proficiency Adjustment]]="Inexperienced",1.24,0)))</f>
        <v>1</v>
      </c>
      <c r="V40" s="25">
        <f>IF(OR(tbl_BA_activities[[#This Row],[Mean (of the number set)]]=0,tbl_BA_activities[[#This Row],[X]]=0,4=0),0,(tbl_BA_activities[[#This Row],[Mean (of the number set)]]/tbl_BA_activities[[#This Row],[X]])*tbl_BA_activities[[#This Row],[Y]])</f>
        <v>30.952380952380956</v>
      </c>
      <c r="W40" s="25">
        <f>IF(OR(tbl_BA_activities[[#This Row],[Mean (of the number set)]]=0,tbl_BA_activities[[#This Row],[X]]=0,4=0),0,tbl_BA_activities[[#This Row],[Adjusted Effort Hours]]/tbl_BA_activities[[#This Row],[Availability]])</f>
        <v>63.32504561978439</v>
      </c>
      <c r="X40" s="37">
        <f>tbl_BA_activities[[#This Row],[Adjusted Duration in Hours]]-2*tbl_BA_activities[[#This Row],[sigma]]</f>
        <v>43.842860024847781</v>
      </c>
      <c r="Y40" s="37">
        <f>tbl_BA_activities[[#This Row],[Adjusted Duration in Hours]]-1*tbl_BA_activities[[#This Row],[sigma]]</f>
        <v>53.583952822316085</v>
      </c>
      <c r="Z40" s="37">
        <f>tbl_BA_activities[[#This Row],[Adjusted Duration in Hours]]-0*tbl_BA_activities[[#This Row],[sigma]]</f>
        <v>63.32504561978439</v>
      </c>
      <c r="AA40" s="37">
        <f>tbl_BA_activities[[#This Row],[Adjusted Duration in Hours]]+1*tbl_BA_activities[[#This Row],[sigma]]</f>
        <v>73.066138417252688</v>
      </c>
      <c r="AB40" s="37">
        <f>tbl_BA_activities[[#This Row],[Adjusted Duration in Hours]]+2*tbl_BA_activities[[#This Row],[sigma]]</f>
        <v>82.807231214721</v>
      </c>
      <c r="AC40" s="33" t="s">
        <v>191</v>
      </c>
      <c r="AD40" s="33" t="s">
        <v>186</v>
      </c>
      <c r="AE40" s="41"/>
      <c r="AF40" s="41"/>
      <c r="AG40" s="42">
        <v>0</v>
      </c>
      <c r="AH40" s="41"/>
      <c r="AI40" s="37" t="str">
        <f ca="1">IF(ISBLANK(tbl_BA_activities[[#This Row],[Due Date]]),"",IF(TODAY()&gt;tbl_BA_activities[[#This Row],[Due Date]],TODAY()-tbl_BA_activities[[#This Row],[Due Date]],0))</f>
        <v/>
      </c>
    </row>
    <row r="41" spans="2:35" ht="50.1" customHeight="1" x14ac:dyDescent="0.2">
      <c r="B41" s="33" t="s">
        <v>262</v>
      </c>
      <c r="C41" s="3" t="s">
        <v>263</v>
      </c>
      <c r="D41" s="24" t="s">
        <v>268</v>
      </c>
      <c r="E41" s="24" t="s">
        <v>268</v>
      </c>
      <c r="F41" s="24" t="s">
        <v>268</v>
      </c>
      <c r="G41" s="24" t="s">
        <v>268</v>
      </c>
      <c r="H41" s="24" t="s">
        <v>268</v>
      </c>
      <c r="I41" s="37">
        <v>66</v>
      </c>
      <c r="J41" s="37">
        <v>28</v>
      </c>
      <c r="K41" s="37">
        <v>35</v>
      </c>
      <c r="L41" s="39">
        <f>((tbl_BA_activities[[#This Row],[Worst]]+tbl_BA_activities[[#This Row],[ML]]+tbl_BA_activities[[#This Row],[Best]])/3)</f>
        <v>43</v>
      </c>
      <c r="M41" s="39">
        <f>((((tbl_BA_activities[[#This Row],[Worst]])- tbl_BA_activities[[#This Row],[Mean (of the number set)]])^2 +((tbl_BA_activities[[#This Row],[ML]])- tbl_BA_activities[[#This Row],[Mean (of the number set)]])^2+((tbl_BA_activities[[#This Row],[Best]])- tbl_BA_activities[[#This Row],[Mean (of the number set)]])^2)/3)</f>
        <v>272.66666666666669</v>
      </c>
      <c r="N41" s="39">
        <f>(((tbl_BA_activities[[#This Row],[Worst]])- tbl_BA_activities[[#This Row],[Mean (of the number set)]])^2 +((tbl_BA_activities[[#This Row],[ML]])- tbl_BA_activities[[#This Row],[Mean (of the number set)]])^2+((tbl_BA_activities[[#This Row],[Best]])- tbl_BA_activities[[#This Row],[Mean (of the number set)]])^2)</f>
        <v>818</v>
      </c>
      <c r="O41" s="39">
        <f>SQRT(tbl_BA_activities[[#This Row],[Variance (of the number set)]])</f>
        <v>16.512621435334449</v>
      </c>
      <c r="P41" s="39">
        <f>IF(tbl_BA_activities[[#This Row],[ML]]=0,"",(tbl_BA_activities[[#This Row],[ML]]-tbl_BA_activities[[#This Row],[Mean (of the number set)]])/tbl_BA_activities[[#This Row],[sigma]])</f>
        <v>-0.90839604473111257</v>
      </c>
      <c r="Q41" s="40">
        <v>0.61986937624384486</v>
      </c>
      <c r="R41" s="33" t="s">
        <v>183</v>
      </c>
      <c r="S41" s="33" t="s">
        <v>189</v>
      </c>
      <c r="T41" s="61">
        <f>IF(tbl_BA_activities[[#This Row],[Efficiency Adjustment]]="Efficient",0.8,IF(tbl_BA_activities[[#This Row],[Efficiency Adjustment]]="Average",0.7,IF(tbl_BA_activities[[#This Row],[Efficiency Adjustment]]="Inefficient",0.6,0)))</f>
        <v>0.8</v>
      </c>
      <c r="U41" s="61">
        <f>IF(tbl_BA_activities[[#This Row],[Proficiency Adjustment]]="Experienced",0.85,IF(tbl_BA_activities[[#This Row],[Proficiency Adjustment]]="Average",1,IF(tbl_BA_activities[[#This Row],[Proficiency Adjustment]]="Inexperienced",1.24,0)))</f>
        <v>1</v>
      </c>
      <c r="V41" s="25">
        <f>IF(OR(tbl_BA_activities[[#This Row],[Mean (of the number set)]]=0,tbl_BA_activities[[#This Row],[X]]=0,4=0),0,(tbl_BA_activities[[#This Row],[Mean (of the number set)]]/tbl_BA_activities[[#This Row],[X]])*tbl_BA_activities[[#This Row],[Y]])</f>
        <v>53.75</v>
      </c>
      <c r="W41" s="25">
        <f>IF(OR(tbl_BA_activities[[#This Row],[Mean (of the number set)]]=0,tbl_BA_activities[[#This Row],[X]]=0,4=0),0,tbl_BA_activities[[#This Row],[Adjusted Effort Hours]]/tbl_BA_activities[[#This Row],[Availability]])</f>
        <v>86.711817134285681</v>
      </c>
      <c r="X41" s="37">
        <f>tbl_BA_activities[[#This Row],[Adjusted Duration in Hours]]-2*tbl_BA_activities[[#This Row],[sigma]]</f>
        <v>53.686574263616784</v>
      </c>
      <c r="Y41" s="37">
        <f>tbl_BA_activities[[#This Row],[Adjusted Duration in Hours]]-1*tbl_BA_activities[[#This Row],[sigma]]</f>
        <v>70.199195698951229</v>
      </c>
      <c r="Z41" s="37">
        <f>tbl_BA_activities[[#This Row],[Adjusted Duration in Hours]]-0*tbl_BA_activities[[#This Row],[sigma]]</f>
        <v>86.711817134285681</v>
      </c>
      <c r="AA41" s="37">
        <f>tbl_BA_activities[[#This Row],[Adjusted Duration in Hours]]+1*tbl_BA_activities[[#This Row],[sigma]]</f>
        <v>103.22443856962013</v>
      </c>
      <c r="AB41" s="37">
        <f>tbl_BA_activities[[#This Row],[Adjusted Duration in Hours]]+2*tbl_BA_activities[[#This Row],[sigma]]</f>
        <v>119.73706000495457</v>
      </c>
      <c r="AC41" s="33" t="s">
        <v>191</v>
      </c>
      <c r="AD41" s="33" t="s">
        <v>186</v>
      </c>
      <c r="AE41" s="41"/>
      <c r="AF41" s="41"/>
      <c r="AG41" s="42">
        <v>0</v>
      </c>
      <c r="AH41" s="41"/>
      <c r="AI41" s="37" t="str">
        <f ca="1">IF(ISBLANK(tbl_BA_activities[[#This Row],[Due Date]]),"",IF(TODAY()&gt;tbl_BA_activities[[#This Row],[Due Date]],TODAY()-tbl_BA_activities[[#This Row],[Due Date]],0))</f>
        <v/>
      </c>
    </row>
  </sheetData>
  <mergeCells count="6">
    <mergeCell ref="X3:AB3"/>
    <mergeCell ref="AC3:AI3"/>
    <mergeCell ref="D3:H3"/>
    <mergeCell ref="B3:C3"/>
    <mergeCell ref="I3:K3"/>
    <mergeCell ref="Q3:W3"/>
  </mergeCells>
  <conditionalFormatting sqref="AG5:AG41">
    <cfRule type="dataBar" priority="1">
      <dataBar showValue="0">
        <cfvo type="num" val="0"/>
        <cfvo type="num" val="1"/>
        <color theme="3"/>
      </dataBar>
      <extLst>
        <ext xmlns:x14="http://schemas.microsoft.com/office/spreadsheetml/2009/9/main" uri="{B025F937-C7B1-47D3-B67F-A62EFF666E3E}">
          <x14:id>{0938C687-A788-1146-ABDA-77F9C9095870}</x14:id>
        </ext>
      </extLst>
    </cfRule>
  </conditionalFormatting>
  <dataValidations disablePrompts="1" count="4">
    <dataValidation type="list" allowBlank="1" showInputMessage="1" showErrorMessage="1" sqref="R5:R41" xr:uid="{4D3CB641-FF54-E64C-959E-E6187DBCA283}">
      <formula1>"Please Select,Efficient,Average,Inefficient"</formula1>
    </dataValidation>
    <dataValidation type="list" allowBlank="1" showInputMessage="1" showErrorMessage="1" sqref="S5:S41" xr:uid="{C454D524-C626-254B-95C4-815D3496C439}">
      <formula1>"Please Select,Experienced,Average,Inexperienced"</formula1>
    </dataValidation>
    <dataValidation type="list" allowBlank="1" showInputMessage="1" showErrorMessage="1" sqref="AC5:AC41" xr:uid="{9F65FBC3-6173-1443-A3B3-0272B65CC225}">
      <formula1>"Low,Normal,High"</formula1>
    </dataValidation>
    <dataValidation type="list" allowBlank="1" showInputMessage="1" showErrorMessage="1" sqref="AD5:AD41" xr:uid="{1AE81BC0-EDE2-1E47-AC91-DF60B934CBFD}">
      <formula1>"Please Select,Not Started,On Schedule,On Hold,Risk of Delay,Delayed,Deferred,Removed,Complete"</formula1>
    </dataValidation>
  </dataValidations>
  <pageMargins left="0.7" right="0.7" top="0.75" bottom="0.75" header="0.3" footer="0.3"/>
  <pageSetup orientation="portrait" horizontalDpi="0"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0938C687-A788-1146-ABDA-77F9C9095870}">
            <x14:dataBar minLength="0" maxLength="100" gradient="0" direction="leftToRight">
              <x14:cfvo type="num">
                <xm:f>0</xm:f>
              </x14:cfvo>
              <x14:cfvo type="num">
                <xm:f>1</xm:f>
              </x14:cfvo>
              <x14:negativeFillColor theme="8"/>
              <x14:axisColor rgb="FF000000"/>
            </x14:dataBar>
          </x14:cfRule>
          <xm:sqref>AG5:AG41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5A599-15E1-8F41-AB18-7EDDDAD7933A}">
  <dimension ref="B2:J68"/>
  <sheetViews>
    <sheetView showGridLines="0" showRowColHeaders="0" workbookViewId="0">
      <selection activeCell="B3" sqref="B3:D3"/>
    </sheetView>
  </sheetViews>
  <sheetFormatPr defaultColWidth="20.6640625" defaultRowHeight="35.1" customHeight="1" x14ac:dyDescent="0.2"/>
  <cols>
    <col min="1" max="1" width="1.5546875" customWidth="1"/>
    <col min="4" max="4" width="50.6640625" customWidth="1"/>
    <col min="5" max="5" width="29.33203125" hidden="1" customWidth="1"/>
    <col min="6" max="6" width="1.88671875" customWidth="1"/>
    <col min="7" max="7" width="34.5546875" bestFit="1" customWidth="1"/>
  </cols>
  <sheetData>
    <row r="2" spans="2:10" ht="35.1" customHeight="1" thickBot="1" x14ac:dyDescent="0.25"/>
    <row r="3" spans="2:10" ht="35.1" customHeight="1" thickBot="1" x14ac:dyDescent="0.25">
      <c r="B3" s="83" t="s">
        <v>277</v>
      </c>
      <c r="C3" s="84"/>
      <c r="D3" s="85"/>
      <c r="G3" s="69" t="s">
        <v>346</v>
      </c>
      <c r="H3" s="70"/>
      <c r="I3" s="71"/>
    </row>
    <row r="4" spans="2:10" ht="35.1" customHeight="1" x14ac:dyDescent="0.2">
      <c r="B4" s="43" t="s">
        <v>278</v>
      </c>
      <c r="C4" s="43" t="s">
        <v>279</v>
      </c>
      <c r="D4" s="43" t="s">
        <v>280</v>
      </c>
      <c r="G4" s="33" t="s">
        <v>335</v>
      </c>
      <c r="H4" s="33" t="s">
        <v>336</v>
      </c>
      <c r="I4" s="33" t="s">
        <v>337</v>
      </c>
    </row>
    <row r="5" spans="2:10" ht="35.1" customHeight="1" x14ac:dyDescent="0.2">
      <c r="B5" s="35">
        <v>1</v>
      </c>
      <c r="C5" s="47" t="s">
        <v>281</v>
      </c>
      <c r="D5" s="35"/>
      <c r="G5" s="49" t="s">
        <v>338</v>
      </c>
      <c r="H5" s="25">
        <f>(UC_Analysis!$D$39+UC_Analysis!$D$15)*UC_Analysis!$D$56*UC_Analysis!$D$68</f>
        <v>196.46687499999996</v>
      </c>
      <c r="I5" s="55">
        <f t="shared" ref="I5" si="0">H6/7.5</f>
        <v>733.47633333333317</v>
      </c>
    </row>
    <row r="6" spans="2:10" ht="35.1" customHeight="1" x14ac:dyDescent="0.2">
      <c r="B6" s="35">
        <v>2</v>
      </c>
      <c r="C6" s="47" t="s">
        <v>189</v>
      </c>
      <c r="D6" s="35"/>
      <c r="G6" s="49" t="s">
        <v>339</v>
      </c>
      <c r="H6" s="25">
        <f>IF(COUNTIF(UC_Analysis!$C$60:$C$65,"&gt;3")+COUNTIF(UC_Analysis!$C$66:$C$67,"&lt;3")&lt;=2,20*$H$5,IF(COUNTIF(UC_Analysis!$C$60:$C$65,"&gt;3")+COUNTIF(UC_Analysis!$C$66:$C$67,"&lt;3")=3,28*$H$5,IF(COUNTIF(UC_Analysis!$C$60:$C$65,"&gt;3")+COUNTIF(UC_Analysis!$C$66:$C$67,"&lt;3")=4,28*$H$5,"Alert")))</f>
        <v>5501.0724999999984</v>
      </c>
      <c r="I6" s="54"/>
    </row>
    <row r="7" spans="2:10" ht="35.1" customHeight="1" thickBot="1" x14ac:dyDescent="0.25">
      <c r="B7" s="35">
        <v>3</v>
      </c>
      <c r="C7" s="47" t="s">
        <v>282</v>
      </c>
      <c r="D7" s="35"/>
    </row>
    <row r="8" spans="2:10" ht="35.1" customHeight="1" thickBot="1" x14ac:dyDescent="0.25">
      <c r="B8" s="35">
        <v>4</v>
      </c>
      <c r="C8" s="47" t="s">
        <v>282</v>
      </c>
      <c r="D8" s="35"/>
      <c r="G8" s="50" t="s">
        <v>334</v>
      </c>
      <c r="H8" s="51"/>
      <c r="I8" s="50" t="s">
        <v>340</v>
      </c>
      <c r="J8" s="51"/>
    </row>
    <row r="9" spans="2:10" ht="35.1" customHeight="1" x14ac:dyDescent="0.2">
      <c r="B9" s="35">
        <v>5</v>
      </c>
      <c r="C9" s="47" t="s">
        <v>281</v>
      </c>
      <c r="D9" s="35"/>
      <c r="G9" s="53" t="s">
        <v>341</v>
      </c>
      <c r="H9" s="53" t="s">
        <v>342</v>
      </c>
      <c r="I9" s="53" t="s">
        <v>343</v>
      </c>
      <c r="J9" s="53" t="s">
        <v>342</v>
      </c>
    </row>
    <row r="10" spans="2:10" ht="35.1" customHeight="1" x14ac:dyDescent="0.2">
      <c r="B10" s="35">
        <v>6</v>
      </c>
      <c r="C10" s="47" t="s">
        <v>282</v>
      </c>
      <c r="D10" s="35"/>
      <c r="G10" s="53" t="s">
        <v>281</v>
      </c>
      <c r="H10" s="53">
        <f>COUNTIF(tbl_use_case_complexity[Use Case Complexity],"Simple")</f>
        <v>8</v>
      </c>
      <c r="I10" s="53" t="s">
        <v>281</v>
      </c>
      <c r="J10" s="53">
        <f>COUNTIF(tblactor_complexity[Actor Complexity],"Simple")</f>
        <v>4</v>
      </c>
    </row>
    <row r="11" spans="2:10" ht="35.1" customHeight="1" x14ac:dyDescent="0.2">
      <c r="B11" s="35">
        <v>7</v>
      </c>
      <c r="C11" s="47" t="s">
        <v>282</v>
      </c>
      <c r="D11" s="35"/>
      <c r="G11" s="53" t="s">
        <v>189</v>
      </c>
      <c r="H11" s="53">
        <f>COUNTIF(tbl_use_case_complexity[Use Case Complexity],"Average")</f>
        <v>7</v>
      </c>
      <c r="I11" s="53" t="s">
        <v>189</v>
      </c>
      <c r="J11" s="53">
        <f>COUNTIF(tblactor_complexity[Actor Complexity],"Average")</f>
        <v>2</v>
      </c>
    </row>
    <row r="12" spans="2:10" ht="35.1" customHeight="1" x14ac:dyDescent="0.2">
      <c r="B12" s="35">
        <v>8</v>
      </c>
      <c r="C12" s="47" t="s">
        <v>189</v>
      </c>
      <c r="D12" s="35"/>
      <c r="G12" s="53" t="s">
        <v>282</v>
      </c>
      <c r="H12" s="53">
        <f>COUNTIF(tbl_use_case_complexity[Use Case Complexity],"Complex")</f>
        <v>5</v>
      </c>
      <c r="I12" s="53" t="s">
        <v>282</v>
      </c>
      <c r="J12" s="53">
        <f>COUNTIF(tblactor_complexity[Actor Complexity],"Complex")</f>
        <v>4</v>
      </c>
    </row>
    <row r="13" spans="2:10" ht="35.1" customHeight="1" x14ac:dyDescent="0.2">
      <c r="B13" s="35">
        <v>9</v>
      </c>
      <c r="C13" s="47" t="s">
        <v>281</v>
      </c>
      <c r="D13" s="35"/>
      <c r="G13" s="53" t="s">
        <v>344</v>
      </c>
      <c r="H13" s="49">
        <f>SUM($H$10:$H$12)</f>
        <v>20</v>
      </c>
      <c r="I13" s="53" t="s">
        <v>345</v>
      </c>
      <c r="J13" s="49">
        <f>SUM($J$10:$J$12)</f>
        <v>10</v>
      </c>
    </row>
    <row r="14" spans="2:10" ht="35.1" customHeight="1" x14ac:dyDescent="0.2">
      <c r="B14" s="35">
        <v>10</v>
      </c>
      <c r="C14" s="47" t="s">
        <v>281</v>
      </c>
      <c r="D14" s="35"/>
    </row>
    <row r="15" spans="2:10" ht="15" hidden="1" x14ac:dyDescent="0.2">
      <c r="B15" s="86" t="s">
        <v>347</v>
      </c>
      <c r="C15" s="86"/>
      <c r="D15" s="65">
        <f>COUNTIF(tblactor_complexity[Actor Complexity],"Simple")*1+COUNTIF(tblactor_complexity[Actor Complexity],"Average")*2+COUNTIF(tblactor_complexity[Actor Complexity],"Complex")*3</f>
        <v>20</v>
      </c>
    </row>
    <row r="16" spans="2:10" ht="15.75" thickBot="1" x14ac:dyDescent="0.25">
      <c r="B16" s="88"/>
      <c r="C16" s="88"/>
      <c r="D16" s="88"/>
    </row>
    <row r="17" spans="2:4" ht="35.1" customHeight="1" thickBot="1" x14ac:dyDescent="0.25">
      <c r="B17" s="83" t="s">
        <v>283</v>
      </c>
      <c r="C17" s="84"/>
      <c r="D17" s="85"/>
    </row>
    <row r="18" spans="2:4" ht="35.1" customHeight="1" x14ac:dyDescent="0.2">
      <c r="B18" s="44" t="s">
        <v>284</v>
      </c>
      <c r="C18" s="43" t="s">
        <v>285</v>
      </c>
      <c r="D18" s="43" t="s">
        <v>286</v>
      </c>
    </row>
    <row r="19" spans="2:4" ht="35.1" customHeight="1" x14ac:dyDescent="0.2">
      <c r="B19" s="35">
        <v>1</v>
      </c>
      <c r="C19" s="47" t="s">
        <v>281</v>
      </c>
      <c r="D19" s="47"/>
    </row>
    <row r="20" spans="2:4" ht="35.1" customHeight="1" x14ac:dyDescent="0.2">
      <c r="B20" s="35">
        <v>2</v>
      </c>
      <c r="C20" s="47" t="s">
        <v>189</v>
      </c>
      <c r="D20" s="47"/>
    </row>
    <row r="21" spans="2:4" ht="35.1" customHeight="1" x14ac:dyDescent="0.2">
      <c r="B21" s="35">
        <v>3</v>
      </c>
      <c r="C21" s="47" t="s">
        <v>282</v>
      </c>
      <c r="D21" s="47"/>
    </row>
    <row r="22" spans="2:4" ht="35.1" customHeight="1" x14ac:dyDescent="0.2">
      <c r="B22" s="35">
        <v>4</v>
      </c>
      <c r="C22" s="47" t="s">
        <v>282</v>
      </c>
      <c r="D22" s="47"/>
    </row>
    <row r="23" spans="2:4" ht="35.1" customHeight="1" x14ac:dyDescent="0.2">
      <c r="B23" s="35">
        <v>5</v>
      </c>
      <c r="C23" s="47" t="s">
        <v>189</v>
      </c>
      <c r="D23" s="47"/>
    </row>
    <row r="24" spans="2:4" ht="35.1" customHeight="1" x14ac:dyDescent="0.2">
      <c r="B24" s="35">
        <v>6</v>
      </c>
      <c r="C24" s="47" t="s">
        <v>281</v>
      </c>
      <c r="D24" s="47"/>
    </row>
    <row r="25" spans="2:4" ht="35.1" customHeight="1" x14ac:dyDescent="0.2">
      <c r="B25" s="35">
        <v>7</v>
      </c>
      <c r="C25" s="47" t="s">
        <v>282</v>
      </c>
      <c r="D25" s="47"/>
    </row>
    <row r="26" spans="2:4" ht="35.1" customHeight="1" x14ac:dyDescent="0.2">
      <c r="B26" s="35">
        <v>8</v>
      </c>
      <c r="C26" s="47" t="s">
        <v>282</v>
      </c>
      <c r="D26" s="47"/>
    </row>
    <row r="27" spans="2:4" ht="35.1" customHeight="1" x14ac:dyDescent="0.2">
      <c r="B27" s="35">
        <v>9</v>
      </c>
      <c r="C27" s="47" t="s">
        <v>282</v>
      </c>
      <c r="D27" s="47"/>
    </row>
    <row r="28" spans="2:4" ht="35.1" customHeight="1" x14ac:dyDescent="0.2">
      <c r="B28" s="35">
        <v>10</v>
      </c>
      <c r="C28" s="47" t="s">
        <v>281</v>
      </c>
      <c r="D28" s="47"/>
    </row>
    <row r="29" spans="2:4" ht="35.1" customHeight="1" x14ac:dyDescent="0.2">
      <c r="B29" s="35">
        <v>11</v>
      </c>
      <c r="C29" s="47" t="s">
        <v>281</v>
      </c>
      <c r="D29" s="47"/>
    </row>
    <row r="30" spans="2:4" ht="35.1" customHeight="1" x14ac:dyDescent="0.2">
      <c r="B30" s="35">
        <v>12</v>
      </c>
      <c r="C30" s="47" t="s">
        <v>281</v>
      </c>
      <c r="D30" s="47"/>
    </row>
    <row r="31" spans="2:4" ht="35.1" customHeight="1" x14ac:dyDescent="0.2">
      <c r="B31" s="35">
        <v>13</v>
      </c>
      <c r="C31" s="47" t="s">
        <v>281</v>
      </c>
      <c r="D31" s="47"/>
    </row>
    <row r="32" spans="2:4" ht="35.1" customHeight="1" x14ac:dyDescent="0.2">
      <c r="B32" s="35">
        <v>14</v>
      </c>
      <c r="C32" s="47" t="s">
        <v>281</v>
      </c>
      <c r="D32" s="47"/>
    </row>
    <row r="33" spans="2:6" ht="35.1" customHeight="1" x14ac:dyDescent="0.2">
      <c r="B33" s="35">
        <v>15</v>
      </c>
      <c r="C33" s="47" t="s">
        <v>281</v>
      </c>
      <c r="D33" s="47"/>
    </row>
    <row r="34" spans="2:6" ht="35.1" customHeight="1" x14ac:dyDescent="0.2">
      <c r="B34" s="35">
        <v>16</v>
      </c>
      <c r="C34" s="47" t="s">
        <v>189</v>
      </c>
      <c r="D34" s="47"/>
    </row>
    <row r="35" spans="2:6" ht="35.1" customHeight="1" x14ac:dyDescent="0.2">
      <c r="B35" s="35">
        <v>17</v>
      </c>
      <c r="C35" s="47" t="s">
        <v>189</v>
      </c>
      <c r="D35" s="47"/>
    </row>
    <row r="36" spans="2:6" ht="35.1" customHeight="1" x14ac:dyDescent="0.2">
      <c r="B36" s="35">
        <v>18</v>
      </c>
      <c r="C36" s="47" t="s">
        <v>189</v>
      </c>
      <c r="D36" s="47"/>
    </row>
    <row r="37" spans="2:6" ht="35.1" customHeight="1" x14ac:dyDescent="0.2">
      <c r="B37" s="35">
        <v>19</v>
      </c>
      <c r="C37" s="47" t="s">
        <v>189</v>
      </c>
      <c r="D37" s="47"/>
    </row>
    <row r="38" spans="2:6" ht="35.1" customHeight="1" x14ac:dyDescent="0.2">
      <c r="B38" s="35">
        <v>20</v>
      </c>
      <c r="C38" s="47" t="s">
        <v>189</v>
      </c>
      <c r="D38" s="47"/>
    </row>
    <row r="39" spans="2:6" ht="15" hidden="1" x14ac:dyDescent="0.2">
      <c r="B39" s="87" t="s">
        <v>348</v>
      </c>
      <c r="C39" s="87"/>
      <c r="D39" s="64">
        <f>COUNTIF(tbl_use_case_complexity[Use Case Complexity],"Simple")*5+COUNTIF(tbl_use_case_complexity[Use Case Complexity],"Average")*10+COUNTIF(tbl_use_case_complexity[Use Case Complexity],"Complex")*15</f>
        <v>185</v>
      </c>
    </row>
    <row r="40" spans="2:6" ht="35.1" customHeight="1" thickBot="1" x14ac:dyDescent="0.25">
      <c r="B40" s="82"/>
      <c r="C40" s="82"/>
      <c r="D40" s="82"/>
    </row>
    <row r="41" spans="2:6" ht="35.1" customHeight="1" thickBot="1" x14ac:dyDescent="0.25">
      <c r="B41" s="83" t="s">
        <v>287</v>
      </c>
      <c r="C41" s="84"/>
      <c r="D41" s="85"/>
    </row>
    <row r="42" spans="2:6" ht="35.1" customHeight="1" x14ac:dyDescent="0.2">
      <c r="B42" s="45" t="s">
        <v>288</v>
      </c>
      <c r="C42" s="46" t="s">
        <v>289</v>
      </c>
      <c r="D42" s="46" t="s">
        <v>290</v>
      </c>
      <c r="E42" s="52" t="s">
        <v>349</v>
      </c>
      <c r="F42" s="56"/>
    </row>
    <row r="43" spans="2:6" ht="60" x14ac:dyDescent="0.2">
      <c r="B43" s="48" t="s">
        <v>291</v>
      </c>
      <c r="C43" s="47">
        <v>1</v>
      </c>
      <c r="D43" s="48" t="s">
        <v>292</v>
      </c>
      <c r="E43" s="62">
        <f>tb_tech_use_case[[#This Row],[Importance]]*2</f>
        <v>2</v>
      </c>
      <c r="F43" s="47"/>
    </row>
    <row r="44" spans="2:6" ht="90" x14ac:dyDescent="0.2">
      <c r="B44" s="48" t="s">
        <v>293</v>
      </c>
      <c r="C44" s="47">
        <v>4</v>
      </c>
      <c r="D44" s="48" t="s">
        <v>294</v>
      </c>
      <c r="E44" s="62">
        <f>tb_tech_use_case[[#This Row],[Importance]]*1</f>
        <v>4</v>
      </c>
      <c r="F44" s="47"/>
    </row>
    <row r="45" spans="2:6" ht="60" x14ac:dyDescent="0.2">
      <c r="B45" s="48" t="s">
        <v>295</v>
      </c>
      <c r="C45" s="47">
        <v>3</v>
      </c>
      <c r="D45" s="48" t="s">
        <v>296</v>
      </c>
      <c r="E45" s="62">
        <f>tb_tech_use_case[[#This Row],[Importance]]*1</f>
        <v>3</v>
      </c>
      <c r="F45" s="47"/>
    </row>
    <row r="46" spans="2:6" ht="60" x14ac:dyDescent="0.2">
      <c r="B46" s="48" t="s">
        <v>297</v>
      </c>
      <c r="C46" s="47">
        <v>4</v>
      </c>
      <c r="D46" s="48" t="s">
        <v>298</v>
      </c>
      <c r="E46" s="62">
        <f>tb_tech_use_case[[#This Row],[Importance]]*1</f>
        <v>4</v>
      </c>
      <c r="F46" s="47"/>
    </row>
    <row r="47" spans="2:6" ht="90" x14ac:dyDescent="0.2">
      <c r="B47" s="48" t="s">
        <v>299</v>
      </c>
      <c r="C47" s="47">
        <v>5</v>
      </c>
      <c r="D47" s="48" t="s">
        <v>300</v>
      </c>
      <c r="E47" s="62">
        <f>tb_tech_use_case[[#This Row],[Importance]]*1</f>
        <v>5</v>
      </c>
      <c r="F47" s="47"/>
    </row>
    <row r="48" spans="2:6" ht="30" x14ac:dyDescent="0.2">
      <c r="B48" s="48" t="s">
        <v>301</v>
      </c>
      <c r="C48" s="47">
        <v>5</v>
      </c>
      <c r="D48" s="48" t="s">
        <v>302</v>
      </c>
      <c r="E48" s="62">
        <f>tb_tech_use_case[[#This Row],[Importance]]*0.5</f>
        <v>2.5</v>
      </c>
      <c r="F48" s="47"/>
    </row>
    <row r="49" spans="2:6" ht="30" x14ac:dyDescent="0.2">
      <c r="B49" s="48" t="s">
        <v>303</v>
      </c>
      <c r="C49" s="47">
        <v>2</v>
      </c>
      <c r="D49" s="48" t="s">
        <v>304</v>
      </c>
      <c r="E49" s="62">
        <f>tb_tech_use_case[[#This Row],[Importance]]*0.5</f>
        <v>1</v>
      </c>
      <c r="F49" s="47"/>
    </row>
    <row r="50" spans="2:6" ht="45" x14ac:dyDescent="0.2">
      <c r="B50" s="48" t="s">
        <v>305</v>
      </c>
      <c r="C50" s="47">
        <v>3</v>
      </c>
      <c r="D50" s="48" t="s">
        <v>306</v>
      </c>
      <c r="E50" s="62">
        <f>tb_tech_use_case[[#This Row],[Importance]]*2</f>
        <v>6</v>
      </c>
      <c r="F50" s="47"/>
    </row>
    <row r="51" spans="2:6" ht="60" x14ac:dyDescent="0.2">
      <c r="B51" s="48" t="s">
        <v>307</v>
      </c>
      <c r="C51" s="47">
        <v>4</v>
      </c>
      <c r="D51" s="48" t="s">
        <v>308</v>
      </c>
      <c r="E51" s="62">
        <f>tb_tech_use_case[[#This Row],[Importance]]*1</f>
        <v>4</v>
      </c>
      <c r="F51" s="47"/>
    </row>
    <row r="52" spans="2:6" ht="60" x14ac:dyDescent="0.2">
      <c r="B52" s="48" t="s">
        <v>309</v>
      </c>
      <c r="C52" s="47">
        <v>5</v>
      </c>
      <c r="D52" s="48" t="s">
        <v>310</v>
      </c>
      <c r="E52" s="62">
        <f>tb_tech_use_case[[#This Row],[Importance]]*1</f>
        <v>5</v>
      </c>
      <c r="F52" s="47"/>
    </row>
    <row r="53" spans="2:6" ht="60" x14ac:dyDescent="0.2">
      <c r="B53" s="48" t="s">
        <v>311</v>
      </c>
      <c r="C53" s="47">
        <v>1</v>
      </c>
      <c r="D53" s="48" t="s">
        <v>312</v>
      </c>
      <c r="E53" s="62">
        <f>tb_tech_use_case[[#This Row],[Importance]]*1</f>
        <v>1</v>
      </c>
      <c r="F53" s="47"/>
    </row>
    <row r="54" spans="2:6" ht="75" x14ac:dyDescent="0.2">
      <c r="B54" s="48" t="s">
        <v>313</v>
      </c>
      <c r="C54" s="47">
        <v>2</v>
      </c>
      <c r="D54" s="48" t="s">
        <v>314</v>
      </c>
      <c r="E54" s="62">
        <f>tb_tech_use_case[[#This Row],[Importance]]*1</f>
        <v>2</v>
      </c>
      <c r="F54" s="47"/>
    </row>
    <row r="55" spans="2:6" ht="60" x14ac:dyDescent="0.2">
      <c r="B55" s="48" t="s">
        <v>315</v>
      </c>
      <c r="C55" s="47">
        <v>3</v>
      </c>
      <c r="D55" s="48" t="s">
        <v>316</v>
      </c>
      <c r="E55" s="62">
        <f>tb_tech_use_case[[#This Row],[Importance]]*1</f>
        <v>3</v>
      </c>
      <c r="F55" s="47"/>
    </row>
    <row r="56" spans="2:6" ht="35.1" hidden="1" customHeight="1" x14ac:dyDescent="0.2">
      <c r="B56" s="87" t="s">
        <v>349</v>
      </c>
      <c r="C56" s="87"/>
      <c r="D56" s="64">
        <f>0.6+(SUM($E$43:$E$55)/100)</f>
        <v>1.0249999999999999</v>
      </c>
      <c r="E56" s="61"/>
    </row>
    <row r="57" spans="2:6" ht="35.1" customHeight="1" thickBot="1" x14ac:dyDescent="0.25">
      <c r="B57" s="89"/>
      <c r="C57" s="89"/>
      <c r="D57" s="89"/>
      <c r="E57" s="61"/>
    </row>
    <row r="58" spans="2:6" ht="35.1" customHeight="1" thickBot="1" x14ac:dyDescent="0.25">
      <c r="B58" s="83" t="s">
        <v>317</v>
      </c>
      <c r="C58" s="84"/>
      <c r="D58" s="85"/>
      <c r="E58" s="61"/>
    </row>
    <row r="59" spans="2:6" ht="35.1" customHeight="1" x14ac:dyDescent="0.2">
      <c r="B59" s="45" t="s">
        <v>288</v>
      </c>
      <c r="C59" s="46" t="s">
        <v>289</v>
      </c>
      <c r="D59" s="46" t="s">
        <v>290</v>
      </c>
      <c r="E59" s="63" t="s">
        <v>350</v>
      </c>
      <c r="F59" s="56"/>
    </row>
    <row r="60" spans="2:6" ht="120" x14ac:dyDescent="0.2">
      <c r="B60" s="48" t="s">
        <v>318</v>
      </c>
      <c r="C60" s="47">
        <v>4</v>
      </c>
      <c r="D60" s="48" t="s">
        <v>319</v>
      </c>
      <c r="E60" s="62">
        <f>tbl_environmental_use_case[[#This Row],[Importance]]*1.5</f>
        <v>6</v>
      </c>
      <c r="F60" s="47"/>
    </row>
    <row r="61" spans="2:6" ht="75" x14ac:dyDescent="0.2">
      <c r="B61" s="48" t="s">
        <v>320</v>
      </c>
      <c r="C61" s="47">
        <v>2</v>
      </c>
      <c r="D61" s="48" t="s">
        <v>321</v>
      </c>
      <c r="E61" s="62">
        <f>tbl_environmental_use_case[[#This Row],[Importance]]*0.5</f>
        <v>1</v>
      </c>
      <c r="F61" s="47"/>
    </row>
    <row r="62" spans="2:6" ht="90" x14ac:dyDescent="0.2">
      <c r="B62" s="48" t="s">
        <v>322</v>
      </c>
      <c r="C62" s="47">
        <v>1</v>
      </c>
      <c r="D62" s="48" t="s">
        <v>323</v>
      </c>
      <c r="E62" s="62">
        <f>tbl_environmental_use_case[[#This Row],[Importance]]*1</f>
        <v>1</v>
      </c>
      <c r="F62" s="47"/>
    </row>
    <row r="63" spans="2:6" ht="75" x14ac:dyDescent="0.2">
      <c r="B63" s="48" t="s">
        <v>324</v>
      </c>
      <c r="C63" s="47">
        <v>1</v>
      </c>
      <c r="D63" s="48" t="s">
        <v>325</v>
      </c>
      <c r="E63" s="62">
        <f>tbl_environmental_use_case[[#This Row],[Importance]]*0.5</f>
        <v>0.5</v>
      </c>
      <c r="F63" s="47"/>
    </row>
    <row r="64" spans="2:6" ht="30" x14ac:dyDescent="0.2">
      <c r="B64" s="48" t="s">
        <v>326</v>
      </c>
      <c r="C64" s="47">
        <v>3</v>
      </c>
      <c r="D64" s="48" t="s">
        <v>327</v>
      </c>
      <c r="E64" s="62">
        <f>tbl_environmental_use_case[[#This Row],[Importance]]*1</f>
        <v>3</v>
      </c>
      <c r="F64" s="47"/>
    </row>
    <row r="65" spans="2:6" ht="90" x14ac:dyDescent="0.2">
      <c r="B65" s="48" t="s">
        <v>328</v>
      </c>
      <c r="C65" s="47">
        <v>3</v>
      </c>
      <c r="D65" s="48" t="s">
        <v>329</v>
      </c>
      <c r="E65" s="62">
        <f>tbl_environmental_use_case[[#This Row],[Importance]]*2</f>
        <v>6</v>
      </c>
      <c r="F65" s="47"/>
    </row>
    <row r="66" spans="2:6" ht="75" x14ac:dyDescent="0.2">
      <c r="B66" s="48" t="s">
        <v>330</v>
      </c>
      <c r="C66" s="47">
        <v>1</v>
      </c>
      <c r="D66" s="48" t="s">
        <v>331</v>
      </c>
      <c r="E66" s="62">
        <f>tbl_environmental_use_case[[#This Row],[Importance]]*-1</f>
        <v>-1</v>
      </c>
      <c r="F66" s="47"/>
    </row>
    <row r="67" spans="2:6" ht="75" x14ac:dyDescent="0.2">
      <c r="B67" s="48" t="s">
        <v>332</v>
      </c>
      <c r="C67" s="47">
        <v>1</v>
      </c>
      <c r="D67" s="48" t="s">
        <v>333</v>
      </c>
      <c r="E67" s="62">
        <f>tbl_environmental_use_case[[#This Row],[Importance]]*-1</f>
        <v>-1</v>
      </c>
      <c r="F67" s="47"/>
    </row>
    <row r="68" spans="2:6" ht="35.1" hidden="1" customHeight="1" x14ac:dyDescent="0.2">
      <c r="B68" s="81" t="s">
        <v>351</v>
      </c>
      <c r="C68" s="81"/>
      <c r="D68" s="58">
        <f>1.4+(-0.03*SUM($E$60:$E$67))</f>
        <v>0.93499999999999994</v>
      </c>
    </row>
  </sheetData>
  <mergeCells count="12">
    <mergeCell ref="B68:C68"/>
    <mergeCell ref="B40:D40"/>
    <mergeCell ref="B58:D58"/>
    <mergeCell ref="G3:I3"/>
    <mergeCell ref="B15:C15"/>
    <mergeCell ref="B39:C39"/>
    <mergeCell ref="B3:D3"/>
    <mergeCell ref="B16:D16"/>
    <mergeCell ref="B17:D17"/>
    <mergeCell ref="B41:D41"/>
    <mergeCell ref="B57:D57"/>
    <mergeCell ref="B56:C56"/>
  </mergeCells>
  <dataValidations count="2">
    <dataValidation type="list" allowBlank="1" showInputMessage="1" showErrorMessage="1" sqref="C43:C55 C60:C67" xr:uid="{FE92BAFE-CC08-EA47-A959-31A911CCC61B}">
      <formula1>"Please Select,0,1,2,3,4,5"</formula1>
    </dataValidation>
    <dataValidation type="list" allowBlank="1" showInputMessage="1" showErrorMessage="1" sqref="C19:C38 C5:C14" xr:uid="{B02AE76A-2B94-4142-BA16-B1FD6C64A02A}">
      <formula1>"Please Select,Simple,Average,Complex"</formula1>
    </dataValidation>
  </dataValidations>
  <pageMargins left="0.7" right="0.7" top="0.75" bottom="0.75" header="0.3" footer="0.3"/>
  <pageSetup orientation="portrait" horizontalDpi="0" verticalDpi="0"/>
  <ignoredErrors>
    <ignoredError sqref="E62" formula="1"/>
  </ignoredErrors>
  <drawing r:id="rId1"/>
  <legacyDrawing r:id="rId2"/>
  <tableParts count="7">
    <tablePart r:id="rId3"/>
    <tablePart r:id="rId4"/>
    <tablePart r:id="rId5"/>
    <tablePart r:id="rId6"/>
    <tablePart r:id="rId7"/>
    <tablePart r:id="rId8"/>
    <tablePart r:id="rId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WAV Copyright</vt:lpstr>
      <vt:lpstr>Project_Survey</vt:lpstr>
      <vt:lpstr>Threat_Analysis</vt:lpstr>
      <vt:lpstr>BA_Activities</vt:lpstr>
      <vt:lpstr>UC_Analysis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2019-10-08T23:03:23Z</dcterms:created>
  <dcterms:modified xsi:type="dcterms:W3CDTF">2019-12-12T18:31:12Z</dcterms:modified>
</cp:coreProperties>
</file>